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24226"/>
  <xr:revisionPtr revIDLastSave="0" documentId="8_{23E6D11F-8623-4D6D-92DE-3EDFC515186F}" xr6:coauthVersionLast="47" xr6:coauthVersionMax="47" xr10:uidLastSave="{00000000-0000-0000-0000-000000000000}"/>
  <bookViews>
    <workbookView xWindow="-120" yWindow="-120" windowWidth="29040" windowHeight="15720" xr2:uid="{13C908D7-B3FC-4A70-B89E-C2CA8101A915}"/>
  </bookViews>
  <sheets>
    <sheet name="Inputs" sheetId="73" r:id="rId1"/>
    <sheet name="Load Forecast Summary" sheetId="11" r:id="rId2"/>
    <sheet name="Power Purchased Model" sheetId="72" r:id="rId3"/>
    <sheet name="Power Purchased Model (WN)" sheetId="106" r:id="rId4"/>
    <sheet name="Rate Class Energy Model" sheetId="9" r:id="rId5"/>
    <sheet name="Rate Class Customer Model" sheetId="17" r:id="rId6"/>
    <sheet name="Rate Class Load Model" sheetId="18" r:id="rId7"/>
    <sheet name="Weather Analysis" sheetId="76" r:id="rId8"/>
    <sheet name="Averages" sheetId="91" r:id="rId9"/>
    <sheet name="Monthly Customer Determination" sheetId="114" r:id="rId10"/>
  </sheets>
  <definedNames>
    <definedName name="__CAP1000" localSheetId="2">#REF!</definedName>
    <definedName name="__CAP1000" localSheetId="3">#REF!</definedName>
    <definedName name="__CAP1000" localSheetId="7">#REF!</definedName>
    <definedName name="__CAP1000">#REF!</definedName>
    <definedName name="__OP1000" localSheetId="2">#REF!</definedName>
    <definedName name="__OP1000" localSheetId="3">#REF!</definedName>
    <definedName name="__OP1000">#REF!</definedName>
    <definedName name="_110" localSheetId="2">#REF!</definedName>
    <definedName name="_110" localSheetId="3">#REF!</definedName>
    <definedName name="_110">#REF!</definedName>
    <definedName name="_110INPT" localSheetId="2">#REF!</definedName>
    <definedName name="_110INPT" localSheetId="3">#REF!</definedName>
    <definedName name="_110INPT">#REF!</definedName>
    <definedName name="_115" localSheetId="2">#REF!</definedName>
    <definedName name="_115" localSheetId="3">#REF!</definedName>
    <definedName name="_115">#REF!</definedName>
    <definedName name="_115INPT" localSheetId="2">#REF!</definedName>
    <definedName name="_115INPT" localSheetId="3">#REF!</definedName>
    <definedName name="_115INPT">#REF!</definedName>
    <definedName name="_120" localSheetId="2">#REF!</definedName>
    <definedName name="_120" localSheetId="3">#REF!</definedName>
    <definedName name="_120">#REF!</definedName>
    <definedName name="_140" localSheetId="2">#REF!</definedName>
    <definedName name="_140" localSheetId="3">#REF!</definedName>
    <definedName name="_140">#REF!</definedName>
    <definedName name="_140INPT" localSheetId="2">#REF!</definedName>
    <definedName name="_140INPT" localSheetId="3">#REF!</definedName>
    <definedName name="_140INPT">#REF!</definedName>
    <definedName name="_CAP1000" localSheetId="2">#REF!</definedName>
    <definedName name="_CAP1000" localSheetId="3">#REF!</definedName>
    <definedName name="_CAP1000">#REF!</definedName>
    <definedName name="_Fill" localSheetId="7" hidden="1">#REF!</definedName>
    <definedName name="_Fill" hidden="1">#REF!</definedName>
    <definedName name="_OP1000" localSheetId="2">#REF!</definedName>
    <definedName name="_OP1000" localSheetId="3">#REF!</definedName>
    <definedName name="_OP1000" localSheetId="7">#REF!</definedName>
    <definedName name="_OP1000">#REF!</definedName>
    <definedName name="_Order1" hidden="1">255</definedName>
    <definedName name="_Order2" hidden="1">0</definedName>
    <definedName name="_Sort" localSheetId="7" hidden="1">#REF!</definedName>
    <definedName name="_Sort" hidden="1">#REF!</definedName>
    <definedName name="ALL" localSheetId="2">#REF!</definedName>
    <definedName name="ALL" localSheetId="3">#REF!</definedName>
    <definedName name="ALL" localSheetId="7">#REF!</definedName>
    <definedName name="ALL">#REF!</definedName>
    <definedName name="ApprovedYr" localSheetId="7">#REF!</definedName>
    <definedName name="ApprovedYr">#REF!</definedName>
    <definedName name="CAfile" localSheetId="7">#REF!</definedName>
    <definedName name="CAfile">#REF!</definedName>
    <definedName name="CAPCOSTS" localSheetId="2">#REF!</definedName>
    <definedName name="CAPCOSTS" localSheetId="3">#REF!</definedName>
    <definedName name="CAPCOSTS" localSheetId="7">#REF!</definedName>
    <definedName name="CAPCOSTS">#REF!</definedName>
    <definedName name="CAPITAL" localSheetId="2">#REF!</definedName>
    <definedName name="CAPITAL" localSheetId="3">#REF!</definedName>
    <definedName name="CAPITAL">#REF!</definedName>
    <definedName name="CapitalExpListing" localSheetId="2">#REF!</definedName>
    <definedName name="CapitalExpListing" localSheetId="3">#REF!</definedName>
    <definedName name="CapitalExpListing">#REF!</definedName>
    <definedName name="CArevReq" localSheetId="7">#REF!</definedName>
    <definedName name="CArevReq">#REF!</definedName>
    <definedName name="CASENUMBER">#REF!</definedName>
    <definedName name="CASHFLOW" localSheetId="2">#REF!</definedName>
    <definedName name="CASHFLOW" localSheetId="3">#REF!</definedName>
    <definedName name="CASHFLOW" localSheetId="7">#REF!</definedName>
    <definedName name="CASHFLOW">#REF!</definedName>
    <definedName name="cc" localSheetId="2">#REF!</definedName>
    <definedName name="cc" localSheetId="3">#REF!</definedName>
    <definedName name="cc">#REF!</definedName>
    <definedName name="ClassRange1" localSheetId="7">#REF!</definedName>
    <definedName name="ClassRange1">#REF!</definedName>
    <definedName name="ClassRange2" localSheetId="7">#REF!</definedName>
    <definedName name="ClassRange2">#REF!</definedName>
    <definedName name="contactf" localSheetId="2">#REF!</definedName>
    <definedName name="contactf" localSheetId="3">#REF!</definedName>
    <definedName name="contactf" localSheetId="7">#REF!</definedName>
    <definedName name="contactf">#REF!</definedName>
    <definedName name="_xlnm.Criteria" localSheetId="2">#REF!</definedName>
    <definedName name="_xlnm.Criteria" localSheetId="3">#REF!</definedName>
    <definedName name="_xlnm.Criteria">#REF!</definedName>
    <definedName name="CRLF" localSheetId="7">#REF!</definedName>
    <definedName name="CRLF">#REF!</definedName>
    <definedName name="_xlnm.Database" localSheetId="2">#REF!</definedName>
    <definedName name="_xlnm.Database" localSheetId="3">#REF!</definedName>
    <definedName name="_xlnm.Database" localSheetId="7">#REF!</definedName>
    <definedName name="_xlnm.Database">#REF!</definedName>
    <definedName name="DaysInPreviousYear" localSheetId="7">#REF!</definedName>
    <definedName name="DaysInPreviousYear">#REF!</definedName>
    <definedName name="DaysInYear" localSheetId="7">#REF!</definedName>
    <definedName name="DaysInYear">#REF!</definedName>
    <definedName name="DEBTREPAY" localSheetId="2">#REF!</definedName>
    <definedName name="DEBTREPAY" localSheetId="3">#REF!</definedName>
    <definedName name="DEBTREPAY" localSheetId="7">#REF!</definedName>
    <definedName name="DEBTREPAY">#REF!</definedName>
    <definedName name="DeptDiv" localSheetId="2">#REF!</definedName>
    <definedName name="DeptDiv" localSheetId="3">#REF!</definedName>
    <definedName name="DeptDiv">#REF!</definedName>
    <definedName name="EBNUMBER">#REF!</definedName>
    <definedName name="ExpenseAccountListing" localSheetId="2">#REF!</definedName>
    <definedName name="ExpenseAccountListing" localSheetId="3">#REF!</definedName>
    <definedName name="ExpenseAccountListing" localSheetId="7">#REF!</definedName>
    <definedName name="ExpenseAccountListing">#REF!</definedName>
    <definedName name="_xlnm.Extract" localSheetId="2">#REF!</definedName>
    <definedName name="_xlnm.Extract" localSheetId="3">#REF!</definedName>
    <definedName name="_xlnm.Extract">#REF!</definedName>
    <definedName name="FakeBlank" localSheetId="7">#REF!</definedName>
    <definedName name="FakeBlank">#REF!</definedName>
    <definedName name="FolderPath" localSheetId="7">#REF!</definedName>
    <definedName name="FolderPath">#REF!</definedName>
    <definedName name="histdate" localSheetId="7">#REF!</definedName>
    <definedName name="histdate">#REF!</definedName>
    <definedName name="Incr2000" localSheetId="2">#REF!</definedName>
    <definedName name="Incr2000" localSheetId="3">#REF!</definedName>
    <definedName name="Incr2000" localSheetId="7">#REF!</definedName>
    <definedName name="Incr2000">#REF!</definedName>
    <definedName name="INTERIM" localSheetId="2">#REF!</definedName>
    <definedName name="INTERIM" localSheetId="3">#REF!</definedName>
    <definedName name="INTERIM">#REF!</definedName>
    <definedName name="LIMIT" localSheetId="2">#REF!</definedName>
    <definedName name="LIMIT" localSheetId="3">#REF!</definedName>
    <definedName name="LIMIT">#REF!</definedName>
    <definedName name="man_beg_bud" localSheetId="2">#REF!</definedName>
    <definedName name="man_beg_bud" localSheetId="3">#REF!</definedName>
    <definedName name="man_beg_bud" localSheetId="7">#REF!</definedName>
    <definedName name="man_beg_bud">#REF!</definedName>
    <definedName name="man_end_bud" localSheetId="2">#REF!</definedName>
    <definedName name="man_end_bud" localSheetId="3">#REF!</definedName>
    <definedName name="man_end_bud">#REF!</definedName>
    <definedName name="man12ACT" localSheetId="2">#REF!</definedName>
    <definedName name="man12ACT" localSheetId="3">#REF!</definedName>
    <definedName name="man12ACT">#REF!</definedName>
    <definedName name="MANBUD" localSheetId="2">#REF!</definedName>
    <definedName name="MANBUD" localSheetId="3">#REF!</definedName>
    <definedName name="MANBUD">#REF!</definedName>
    <definedName name="manCYACT" localSheetId="2">#REF!</definedName>
    <definedName name="manCYACT" localSheetId="3">#REF!</definedName>
    <definedName name="manCYACT">#REF!</definedName>
    <definedName name="manCYBUD" localSheetId="2">#REF!</definedName>
    <definedName name="manCYBUD" localSheetId="3">#REF!</definedName>
    <definedName name="manCYBUD">#REF!</definedName>
    <definedName name="manCYF" localSheetId="2">#REF!</definedName>
    <definedName name="manCYF" localSheetId="3">#REF!</definedName>
    <definedName name="manCYF">#REF!</definedName>
    <definedName name="MANEND" localSheetId="2">#REF!</definedName>
    <definedName name="MANEND" localSheetId="3">#REF!</definedName>
    <definedName name="MANEND">#REF!</definedName>
    <definedName name="manNYbud" localSheetId="2">#REF!</definedName>
    <definedName name="manNYbud" localSheetId="3">#REF!</definedName>
    <definedName name="manNYbud">#REF!</definedName>
    <definedName name="manpower_costs" localSheetId="2">#REF!</definedName>
    <definedName name="manpower_costs" localSheetId="3">#REF!</definedName>
    <definedName name="manpower_costs">#REF!</definedName>
    <definedName name="manPYACT" localSheetId="2">#REF!</definedName>
    <definedName name="manPYACT" localSheetId="3">#REF!</definedName>
    <definedName name="manPYACT">#REF!</definedName>
    <definedName name="MANSTART" localSheetId="2">#REF!</definedName>
    <definedName name="MANSTART" localSheetId="3">#REF!</definedName>
    <definedName name="MANSTART">#REF!</definedName>
    <definedName name="mat_beg_bud" localSheetId="2">#REF!</definedName>
    <definedName name="mat_beg_bud" localSheetId="3">#REF!</definedName>
    <definedName name="mat_beg_bud">#REF!</definedName>
    <definedName name="mat_end_bud" localSheetId="2">#REF!</definedName>
    <definedName name="mat_end_bud" localSheetId="3">#REF!</definedName>
    <definedName name="mat_end_bud">#REF!</definedName>
    <definedName name="mat12ACT" localSheetId="2">#REF!</definedName>
    <definedName name="mat12ACT" localSheetId="3">#REF!</definedName>
    <definedName name="mat12ACT">#REF!</definedName>
    <definedName name="MATBUD" localSheetId="2">#REF!</definedName>
    <definedName name="MATBUD" localSheetId="3">#REF!</definedName>
    <definedName name="MATBUD">#REF!</definedName>
    <definedName name="matCYACT" localSheetId="2">#REF!</definedName>
    <definedName name="matCYACT" localSheetId="3">#REF!</definedName>
    <definedName name="matCYACT">#REF!</definedName>
    <definedName name="matCYBUD" localSheetId="2">#REF!</definedName>
    <definedName name="matCYBUD" localSheetId="3">#REF!</definedName>
    <definedName name="matCYBUD">#REF!</definedName>
    <definedName name="matCYF" localSheetId="2">#REF!</definedName>
    <definedName name="matCYF" localSheetId="3">#REF!</definedName>
    <definedName name="matCYF">#REF!</definedName>
    <definedName name="MATEND" localSheetId="2">#REF!</definedName>
    <definedName name="MATEND" localSheetId="3">#REF!</definedName>
    <definedName name="MATEND">#REF!</definedName>
    <definedName name="material_costs" localSheetId="2">#REF!</definedName>
    <definedName name="material_costs" localSheetId="3">#REF!</definedName>
    <definedName name="material_costs">#REF!</definedName>
    <definedName name="matNYbud" localSheetId="2">#REF!</definedName>
    <definedName name="matNYbud" localSheetId="3">#REF!</definedName>
    <definedName name="matNYbud">#REF!</definedName>
    <definedName name="matPYACT" localSheetId="2">#REF!</definedName>
    <definedName name="matPYACT" localSheetId="3">#REF!</definedName>
    <definedName name="matPYACT">#REF!</definedName>
    <definedName name="MATSTART" localSheetId="2">#REF!</definedName>
    <definedName name="MATSTART" localSheetId="3">#REF!</definedName>
    <definedName name="MATSTART">#REF!</definedName>
    <definedName name="mea" localSheetId="2">#REF!</definedName>
    <definedName name="mea" localSheetId="3">#REF!</definedName>
    <definedName name="mea">#REF!</definedName>
    <definedName name="MEABAL" localSheetId="2">#REF!</definedName>
    <definedName name="MEABAL" localSheetId="3">#REF!</definedName>
    <definedName name="MEABAL">#REF!</definedName>
    <definedName name="MEACASH" localSheetId="2">#REF!</definedName>
    <definedName name="MEACASH" localSheetId="3">#REF!</definedName>
    <definedName name="MEACASH">#REF!</definedName>
    <definedName name="MEAEQITY" localSheetId="2">#REF!</definedName>
    <definedName name="MEAEQITY" localSheetId="3">#REF!</definedName>
    <definedName name="MEAEQITY">#REF!</definedName>
    <definedName name="MEAOP" localSheetId="2">#REF!</definedName>
    <definedName name="MEAOP" localSheetId="3">#REF!</definedName>
    <definedName name="MEAOP">#REF!</definedName>
    <definedName name="MofF" localSheetId="2">#REF!</definedName>
    <definedName name="MofF" localSheetId="3">#REF!</definedName>
    <definedName name="MofF">#REF!</definedName>
    <definedName name="NewRevReq" localSheetId="7">#REF!</definedName>
    <definedName name="NewRevReq">#REF!</definedName>
    <definedName name="NOTES" localSheetId="2">#REF!</definedName>
    <definedName name="NOTES" localSheetId="3">#REF!</definedName>
    <definedName name="NOTES" localSheetId="7">#REF!</definedName>
    <definedName name="NOTES">#REF!</definedName>
    <definedName name="OPERATING" localSheetId="2">#REF!</definedName>
    <definedName name="OPERATING" localSheetId="3">#REF!</definedName>
    <definedName name="OPERATING">#REF!</definedName>
    <definedName name="oth_beg_bud" localSheetId="2">#REF!</definedName>
    <definedName name="oth_beg_bud" localSheetId="3">#REF!</definedName>
    <definedName name="oth_beg_bud">#REF!</definedName>
    <definedName name="oth_end_bud" localSheetId="2">#REF!</definedName>
    <definedName name="oth_end_bud" localSheetId="3">#REF!</definedName>
    <definedName name="oth_end_bud">#REF!</definedName>
    <definedName name="oth12ACT" localSheetId="2">#REF!</definedName>
    <definedName name="oth12ACT" localSheetId="3">#REF!</definedName>
    <definedName name="oth12ACT">#REF!</definedName>
    <definedName name="othCYACT" localSheetId="2">#REF!</definedName>
    <definedName name="othCYACT" localSheetId="3">#REF!</definedName>
    <definedName name="othCYACT">#REF!</definedName>
    <definedName name="othCYBUD" localSheetId="2">#REF!</definedName>
    <definedName name="othCYBUD" localSheetId="3">#REF!</definedName>
    <definedName name="othCYBUD">#REF!</definedName>
    <definedName name="othCYF" localSheetId="2">#REF!</definedName>
    <definedName name="othCYF" localSheetId="3">#REF!</definedName>
    <definedName name="othCYF">#REF!</definedName>
    <definedName name="OTHEND" localSheetId="2">#REF!</definedName>
    <definedName name="OTHEND" localSheetId="3">#REF!</definedName>
    <definedName name="OTHEND">#REF!</definedName>
    <definedName name="other_costs" localSheetId="2">#REF!</definedName>
    <definedName name="other_costs" localSheetId="3">#REF!</definedName>
    <definedName name="other_costs">#REF!</definedName>
    <definedName name="OTHERBUD" localSheetId="2">#REF!</definedName>
    <definedName name="OTHERBUD" localSheetId="3">#REF!</definedName>
    <definedName name="OTHERBUD">#REF!</definedName>
    <definedName name="othNYbud" localSheetId="2">#REF!</definedName>
    <definedName name="othNYbud" localSheetId="3">#REF!</definedName>
    <definedName name="othNYbud">#REF!</definedName>
    <definedName name="othPYACT" localSheetId="2">#REF!</definedName>
    <definedName name="othPYACT" localSheetId="3">#REF!</definedName>
    <definedName name="othPYACT">#REF!</definedName>
    <definedName name="OTHSTART" localSheetId="2">#REF!</definedName>
    <definedName name="OTHSTART" localSheetId="3">#REF!</definedName>
    <definedName name="OTHSTART">#REF!</definedName>
    <definedName name="PAGE11" localSheetId="2">#REF!</definedName>
    <definedName name="PAGE11" localSheetId="3">#REF!</definedName>
    <definedName name="PAGE11" localSheetId="7">#REF!</definedName>
    <definedName name="PAGE11">#REF!</definedName>
    <definedName name="PAGE2" localSheetId="7">#REF!</definedName>
    <definedName name="PAGE2">#REF!</definedName>
    <definedName name="PAGE3" localSheetId="2">#REF!</definedName>
    <definedName name="PAGE3" localSheetId="3">#REF!</definedName>
    <definedName name="PAGE3" localSheetId="7">#REF!</definedName>
    <definedName name="PAGE3">#REF!</definedName>
    <definedName name="PAGE4" localSheetId="2">#REF!</definedName>
    <definedName name="PAGE4" localSheetId="3">#REF!</definedName>
    <definedName name="PAGE4" localSheetId="7">#REF!</definedName>
    <definedName name="PAGE4">#REF!</definedName>
    <definedName name="PAGE7" localSheetId="2">#REF!</definedName>
    <definedName name="PAGE7" localSheetId="3">#REF!</definedName>
    <definedName name="PAGE7" localSheetId="7">#REF!</definedName>
    <definedName name="PAGE7">#REF!</definedName>
    <definedName name="PAGE9" localSheetId="2">#REF!</definedName>
    <definedName name="PAGE9" localSheetId="3">#REF!</definedName>
    <definedName name="PAGE9" localSheetId="7">#REF!</definedName>
    <definedName name="PAGE9">#REF!</definedName>
    <definedName name="PageOne" localSheetId="2">#REF!</definedName>
    <definedName name="PageOne" localSheetId="3">#REF!</definedName>
    <definedName name="PageOne">#REF!</definedName>
    <definedName name="PR" localSheetId="2">#REF!</definedName>
    <definedName name="PR" localSheetId="3">#REF!</definedName>
    <definedName name="PR">#REF!</definedName>
    <definedName name="_xlnm.Print_Area" localSheetId="1">'Load Forecast Summary'!$A$1:$O$69</definedName>
    <definedName name="_xlnm.Print_Area" localSheetId="2">'Power Purchased Model'!$A$1:$AF$169</definedName>
    <definedName name="_xlnm.Print_Area" localSheetId="3">'Power Purchased Model (WN)'!$A$1:$AE$170</definedName>
    <definedName name="_xlnm.Print_Area" localSheetId="5">'Rate Class Customer Model'!$A$1:$S$53</definedName>
    <definedName name="_xlnm.Print_Area" localSheetId="6">'Rate Class Load Model'!$A$1:$G$29</definedName>
    <definedName name="Print_Area_MI" localSheetId="2">#REF!</definedName>
    <definedName name="Print_Area_MI" localSheetId="3">#REF!</definedName>
    <definedName name="Print_Area_MI" localSheetId="7">#REF!</definedName>
    <definedName name="Print_Area_MI">#REF!</definedName>
    <definedName name="print_end" localSheetId="2">#REF!</definedName>
    <definedName name="print_end" localSheetId="3">#REF!</definedName>
    <definedName name="print_end">#REF!</definedName>
    <definedName name="_xlnm.Print_Titles" localSheetId="8">Averages!$A:$A</definedName>
    <definedName name="_xlnm.Print_Titles" localSheetId="0">Inputs!$A:$A</definedName>
    <definedName name="_xlnm.Print_Titles" localSheetId="2">'Power Purchased Model'!$A:$A,'Power Purchased Model'!$1:$2</definedName>
    <definedName name="_xlnm.Print_Titles" localSheetId="3">'Power Purchased Model (WN)'!$A:$A,'Power Purchased Model (WN)'!$1:$2</definedName>
    <definedName name="PRIOR" localSheetId="2">#REF!</definedName>
    <definedName name="PRIOR" localSheetId="3">#REF!</definedName>
    <definedName name="PRIOR" localSheetId="7">#REF!</definedName>
    <definedName name="PRIOR">#REF!</definedName>
    <definedName name="Ratebase" localSheetId="7">#REF!</definedName>
    <definedName name="Ratebase">#REF!</definedName>
    <definedName name="RebaseYear">#REF!</definedName>
    <definedName name="RevReqLookupKey" localSheetId="7">#REF!</definedName>
    <definedName name="RevReqLookupKey">#REF!</definedName>
    <definedName name="RevReqRange" localSheetId="7">#REF!</definedName>
    <definedName name="RevReqRange">#REF!</definedName>
    <definedName name="RVCASHPR" localSheetId="2">#REF!</definedName>
    <definedName name="RVCASHPR" localSheetId="3">#REF!</definedName>
    <definedName name="RVCASHPR" localSheetId="7">#REF!</definedName>
    <definedName name="RVCASHPR">#REF!</definedName>
    <definedName name="SALBENF" localSheetId="2">#REF!</definedName>
    <definedName name="SALBENF" localSheetId="3">#REF!</definedName>
    <definedName name="SALBENF">#REF!</definedName>
    <definedName name="salreg" localSheetId="2">#REF!</definedName>
    <definedName name="salreg" localSheetId="3">#REF!</definedName>
    <definedName name="salreg">#REF!</definedName>
    <definedName name="SALREGF" localSheetId="2">#REF!</definedName>
    <definedName name="SALREGF" localSheetId="3">#REF!</definedName>
    <definedName name="SALREGF">#REF!</definedName>
    <definedName name="SOURCEAPP" localSheetId="2">#REF!</definedName>
    <definedName name="SOURCEAPP" localSheetId="3">#REF!</definedName>
    <definedName name="SOURCEAPP">#REF!</definedName>
    <definedName name="STATS1" localSheetId="2">#REF!</definedName>
    <definedName name="STATS1" localSheetId="3">#REF!</definedName>
    <definedName name="STATS1">#REF!</definedName>
    <definedName name="STATS2" localSheetId="2">#REF!</definedName>
    <definedName name="STATS2" localSheetId="3">#REF!</definedName>
    <definedName name="STATS2">#REF!</definedName>
    <definedName name="Surtax" localSheetId="2">#REF!</definedName>
    <definedName name="Surtax" localSheetId="3">#REF!</definedName>
    <definedName name="Surtax">#REF!</definedName>
    <definedName name="TEMPA" localSheetId="2">#REF!</definedName>
    <definedName name="TEMPA" localSheetId="3">#REF!</definedName>
    <definedName name="TEMPA">#REF!</definedName>
    <definedName name="Test_Year">#REF!</definedName>
    <definedName name="TestYr" localSheetId="7">#REF!</definedName>
    <definedName name="TestYr">#REF!</definedName>
    <definedName name="TestYrPL" localSheetId="7">#REF!</definedName>
    <definedName name="TestYrPL">#REF!</definedName>
    <definedName name="total_dept" localSheetId="2">#REF!</definedName>
    <definedName name="total_dept" localSheetId="3">#REF!</definedName>
    <definedName name="total_dept" localSheetId="7">#REF!</definedName>
    <definedName name="total_dept">#REF!</definedName>
    <definedName name="total_manpower" localSheetId="2">#REF!</definedName>
    <definedName name="total_manpower" localSheetId="3">#REF!</definedName>
    <definedName name="total_manpower">#REF!</definedName>
    <definedName name="total_material" localSheetId="2">#REF!</definedName>
    <definedName name="total_material" localSheetId="3">#REF!</definedName>
    <definedName name="total_material">#REF!</definedName>
    <definedName name="total_other" localSheetId="2">#REF!</definedName>
    <definedName name="total_other" localSheetId="3">#REF!</definedName>
    <definedName name="total_other">#REF!</definedName>
    <definedName name="total_transportation" localSheetId="2">#REF!</definedName>
    <definedName name="total_transportation" localSheetId="3">#REF!</definedName>
    <definedName name="total_transportation">#REF!</definedName>
    <definedName name="TOTCAPADDITIONS" localSheetId="2">#REF!</definedName>
    <definedName name="TOTCAPADDITIONS" localSheetId="3">#REF!</definedName>
    <definedName name="TOTCAPADDITIONS">#REF!</definedName>
    <definedName name="TRANBUD" localSheetId="2">#REF!</definedName>
    <definedName name="TRANBUD" localSheetId="3">#REF!</definedName>
    <definedName name="TRANBUD">#REF!</definedName>
    <definedName name="TRANEND" localSheetId="2">#REF!</definedName>
    <definedName name="TRANEND" localSheetId="3">#REF!</definedName>
    <definedName name="TRANEND">#REF!</definedName>
    <definedName name="TRANSCAP" localSheetId="2">#REF!</definedName>
    <definedName name="TRANSCAP" localSheetId="3">#REF!</definedName>
    <definedName name="TRANSCAP">#REF!</definedName>
    <definedName name="TRANSFER" localSheetId="2">#REF!</definedName>
    <definedName name="TRANSFER" localSheetId="3">#REF!</definedName>
    <definedName name="TRANSFER">#REF!</definedName>
    <definedName name="transportation_costs" localSheetId="2">#REF!</definedName>
    <definedName name="transportation_costs" localSheetId="3">#REF!</definedName>
    <definedName name="transportation_costs">#REF!</definedName>
    <definedName name="TRANSTART" localSheetId="2">#REF!</definedName>
    <definedName name="TRANSTART" localSheetId="3">#REF!</definedName>
    <definedName name="TRANSTART">#REF!</definedName>
    <definedName name="trn_beg_bud" localSheetId="2">#REF!</definedName>
    <definedName name="trn_beg_bud" localSheetId="3">#REF!</definedName>
    <definedName name="trn_beg_bud">#REF!</definedName>
    <definedName name="trn_end_bud" localSheetId="2">#REF!</definedName>
    <definedName name="trn_end_bud" localSheetId="3">#REF!</definedName>
    <definedName name="trn_end_bud">#REF!</definedName>
    <definedName name="trn12ACT" localSheetId="2">#REF!</definedName>
    <definedName name="trn12ACT" localSheetId="3">#REF!</definedName>
    <definedName name="trn12ACT">#REF!</definedName>
    <definedName name="trnCYACT" localSheetId="2">#REF!</definedName>
    <definedName name="trnCYACT" localSheetId="3">#REF!</definedName>
    <definedName name="trnCYACT">#REF!</definedName>
    <definedName name="trnCYBUD" localSheetId="2">#REF!</definedName>
    <definedName name="trnCYBUD" localSheetId="3">#REF!</definedName>
    <definedName name="trnCYBUD">#REF!</definedName>
    <definedName name="trnCYF" localSheetId="2">#REF!</definedName>
    <definedName name="trnCYF" localSheetId="3">#REF!</definedName>
    <definedName name="trnCYF">#REF!</definedName>
    <definedName name="trnNYbud" localSheetId="2">#REF!</definedName>
    <definedName name="trnNYbud" localSheetId="3">#REF!</definedName>
    <definedName name="trnNYbud">#REF!</definedName>
    <definedName name="trnPYACT" localSheetId="2">#REF!</definedName>
    <definedName name="trnPYACT" localSheetId="3">#REF!</definedName>
    <definedName name="trnPYACT">#REF!</definedName>
    <definedName name="Utility" localSheetId="7">#REF!</definedName>
    <definedName name="Utility">#REF!</definedName>
    <definedName name="utitliy1" localSheetId="7">#REF!</definedName>
    <definedName name="utitliy1">#REF!</definedName>
    <definedName name="Variable1">#REF!</definedName>
    <definedName name="WAGBENF" localSheetId="2">#REF!</definedName>
    <definedName name="WAGBENF" localSheetId="3">#REF!</definedName>
    <definedName name="WAGBENF" localSheetId="7">#REF!</definedName>
    <definedName name="WAGBENF">#REF!</definedName>
    <definedName name="wagdob" localSheetId="2">#REF!</definedName>
    <definedName name="wagdob" localSheetId="3">#REF!</definedName>
    <definedName name="wagdob">#REF!</definedName>
    <definedName name="wagdobf" localSheetId="2">#REF!</definedName>
    <definedName name="wagdobf" localSheetId="3">#REF!</definedName>
    <definedName name="wagdobf">#REF!</definedName>
    <definedName name="wagreg" localSheetId="2">#REF!</definedName>
    <definedName name="wagreg" localSheetId="3">#REF!</definedName>
    <definedName name="wagreg">#REF!</definedName>
    <definedName name="wagregf" localSheetId="2">#REF!</definedName>
    <definedName name="wagregf" localSheetId="3">#REF!</definedName>
    <definedName name="wagreg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50" i="72" l="1"/>
  <c r="B40" i="17"/>
  <c r="F40" i="17"/>
  <c r="F38" i="17" s="1"/>
  <c r="M23" i="91" l="1"/>
  <c r="Y14" i="91"/>
  <c r="D81" i="114"/>
  <c r="C81" i="114"/>
  <c r="A80" i="114"/>
  <c r="Q2" i="9"/>
  <c r="R2" i="9"/>
  <c r="S2" i="9"/>
  <c r="T2" i="9"/>
  <c r="U2" i="9"/>
  <c r="V2" i="9"/>
  <c r="P2" i="9"/>
  <c r="L39" i="76" l="1"/>
  <c r="M39" i="76"/>
  <c r="C40" i="17" l="1"/>
  <c r="D40" i="17"/>
  <c r="E40" i="17"/>
  <c r="G40" i="17"/>
  <c r="B5" i="73"/>
  <c r="U132" i="73" l="1" a="1"/>
  <c r="U132" i="73" s="1"/>
  <c r="U120" i="73" a="1"/>
  <c r="U120" i="73" s="1"/>
  <c r="U108" i="73" a="1"/>
  <c r="U108" i="73" s="1"/>
  <c r="U96" i="73" a="1"/>
  <c r="U96" i="73" s="1"/>
  <c r="U84" i="73" a="1"/>
  <c r="U84" i="73" s="1"/>
  <c r="U72" i="73" a="1"/>
  <c r="U72" i="73" s="1"/>
  <c r="U60" i="73" a="1"/>
  <c r="U60" i="73" s="1"/>
  <c r="U48" i="73" a="1"/>
  <c r="U48" i="73" s="1"/>
  <c r="U36" i="73" a="1"/>
  <c r="U36" i="73" s="1"/>
  <c r="U24" i="73" a="1"/>
  <c r="U24" i="73" s="1"/>
  <c r="O132" i="73" a="1"/>
  <c r="O132" i="73" s="1"/>
  <c r="O120" i="73" a="1"/>
  <c r="O120" i="73" s="1"/>
  <c r="O108" i="73" a="1"/>
  <c r="O108" i="73" s="1"/>
  <c r="O96" i="73" a="1"/>
  <c r="O96" i="73" s="1"/>
  <c r="O84" i="73" a="1"/>
  <c r="O84" i="73" s="1"/>
  <c r="O72" i="73" a="1"/>
  <c r="O72" i="73" s="1"/>
  <c r="O60" i="73" a="1"/>
  <c r="O60" i="73" s="1"/>
  <c r="O48" i="73" a="1"/>
  <c r="O48" i="73" s="1"/>
  <c r="O36" i="73" a="1"/>
  <c r="O36" i="73" s="1"/>
  <c r="O24" i="73" a="1"/>
  <c r="O24" i="73" s="1"/>
  <c r="L132" i="73" a="1"/>
  <c r="L132" i="73" s="1"/>
  <c r="L120" i="73" a="1"/>
  <c r="L120" i="73" s="1"/>
  <c r="L108" i="73" a="1"/>
  <c r="L108" i="73" s="1"/>
  <c r="L96" i="73" a="1"/>
  <c r="L96" i="73" s="1"/>
  <c r="L84" i="73" a="1"/>
  <c r="L84" i="73" s="1"/>
  <c r="L72" i="73" a="1"/>
  <c r="L72" i="73" s="1"/>
  <c r="L60" i="73" a="1"/>
  <c r="L60" i="73" s="1"/>
  <c r="L48" i="73" a="1"/>
  <c r="L48" i="73" s="1"/>
  <c r="L36" i="73" a="1"/>
  <c r="L36" i="73" s="1"/>
  <c r="L24" i="73" a="1"/>
  <c r="L24" i="73" s="1"/>
  <c r="I132" i="73" a="1"/>
  <c r="I132" i="73" s="1"/>
  <c r="I120" i="73" a="1"/>
  <c r="I120" i="73" s="1"/>
  <c r="I108" i="73" a="1"/>
  <c r="I108" i="73" s="1"/>
  <c r="I96" i="73" a="1"/>
  <c r="I96" i="73" s="1"/>
  <c r="I84" i="73" a="1"/>
  <c r="I84" i="73" s="1"/>
  <c r="I72" i="73" a="1"/>
  <c r="I72" i="73" s="1"/>
  <c r="I60" i="73" a="1"/>
  <c r="I60" i="73" s="1"/>
  <c r="I48" i="73" a="1"/>
  <c r="I48" i="73" s="1"/>
  <c r="I36" i="73" a="1"/>
  <c r="I36" i="73" s="1"/>
  <c r="I24" i="73" a="1"/>
  <c r="I24" i="73" s="1"/>
  <c r="G132" i="73" a="1"/>
  <c r="G132" i="73" s="1"/>
  <c r="G120" i="73" a="1"/>
  <c r="G120" i="73" s="1"/>
  <c r="G108" i="73" a="1"/>
  <c r="G108" i="73" s="1"/>
  <c r="G96" i="73" a="1"/>
  <c r="G96" i="73" s="1"/>
  <c r="G84" i="73" a="1"/>
  <c r="G84" i="73" s="1"/>
  <c r="G72" i="73" a="1"/>
  <c r="G72" i="73" s="1"/>
  <c r="G60" i="73" a="1"/>
  <c r="G60" i="73" s="1"/>
  <c r="G48" i="73" a="1"/>
  <c r="G48" i="73" s="1"/>
  <c r="G36" i="73" a="1"/>
  <c r="G36" i="73" s="1"/>
  <c r="G24" i="73" a="1"/>
  <c r="G24" i="73" s="1"/>
  <c r="C101" i="114"/>
  <c r="C102" i="114" s="1"/>
  <c r="C103" i="114" s="1"/>
  <c r="C104" i="114" s="1"/>
  <c r="C105" i="114" s="1"/>
  <c r="C106" i="114" s="1"/>
  <c r="C107" i="114" s="1"/>
  <c r="C108" i="114" s="1"/>
  <c r="C109" i="114" s="1"/>
  <c r="C110" i="114" s="1"/>
  <c r="C111" i="114" s="1"/>
  <c r="C112" i="114" s="1"/>
  <c r="D101" i="114" s="1"/>
  <c r="D102" i="114" s="1"/>
  <c r="D103" i="114" s="1"/>
  <c r="D104" i="114" s="1"/>
  <c r="D105" i="114" s="1"/>
  <c r="D106" i="114" s="1"/>
  <c r="D107" i="114" s="1"/>
  <c r="D108" i="114" s="1"/>
  <c r="D109" i="114" s="1"/>
  <c r="D110" i="114" s="1"/>
  <c r="D111" i="114" s="1"/>
  <c r="D112" i="114" s="1"/>
  <c r="E101" i="114" s="1"/>
  <c r="E102" i="114" s="1"/>
  <c r="E103" i="114" s="1"/>
  <c r="E104" i="114" s="1"/>
  <c r="E105" i="114" s="1"/>
  <c r="E106" i="114" s="1"/>
  <c r="E107" i="114" s="1"/>
  <c r="E108" i="114" s="1"/>
  <c r="E109" i="114" s="1"/>
  <c r="E110" i="114" s="1"/>
  <c r="E111" i="114" s="1"/>
  <c r="E112" i="114" s="1"/>
  <c r="F101" i="114" s="1"/>
  <c r="F102" i="114" s="1"/>
  <c r="F103" i="114" s="1"/>
  <c r="F104" i="114" s="1"/>
  <c r="F105" i="114" s="1"/>
  <c r="F106" i="114" s="1"/>
  <c r="F107" i="114" s="1"/>
  <c r="F108" i="114" s="1"/>
  <c r="F109" i="114" s="1"/>
  <c r="F110" i="114" s="1"/>
  <c r="F111" i="114" s="1"/>
  <c r="F112" i="114" s="1"/>
  <c r="G101" i="114" s="1"/>
  <c r="G102" i="114" s="1"/>
  <c r="G103" i="114" s="1"/>
  <c r="G104" i="114" s="1"/>
  <c r="G105" i="114" s="1"/>
  <c r="G106" i="114" s="1"/>
  <c r="G107" i="114" s="1"/>
  <c r="G108" i="114" s="1"/>
  <c r="G109" i="114" s="1"/>
  <c r="G110" i="114" s="1"/>
  <c r="G111" i="114" s="1"/>
  <c r="G112" i="114" s="1"/>
  <c r="H101" i="114" s="1"/>
  <c r="H102" i="114" s="1"/>
  <c r="H103" i="114" s="1"/>
  <c r="H104" i="114" s="1"/>
  <c r="H105" i="114" s="1"/>
  <c r="H106" i="114" s="1"/>
  <c r="H107" i="114" s="1"/>
  <c r="H108" i="114" s="1"/>
  <c r="H109" i="114" s="1"/>
  <c r="H110" i="114" s="1"/>
  <c r="H111" i="114" s="1"/>
  <c r="H112" i="114" s="1"/>
  <c r="I101" i="114" s="1"/>
  <c r="I102" i="114" s="1"/>
  <c r="I103" i="114" s="1"/>
  <c r="I104" i="114" s="1"/>
  <c r="I105" i="114" s="1"/>
  <c r="I106" i="114" s="1"/>
  <c r="I107" i="114" s="1"/>
  <c r="I108" i="114" s="1"/>
  <c r="I109" i="114" s="1"/>
  <c r="I110" i="114" s="1"/>
  <c r="I111" i="114" s="1"/>
  <c r="I112" i="114" s="1"/>
  <c r="J101" i="114" s="1"/>
  <c r="J102" i="114" s="1"/>
  <c r="J103" i="114" s="1"/>
  <c r="J104" i="114" s="1"/>
  <c r="J105" i="114" s="1"/>
  <c r="J106" i="114" s="1"/>
  <c r="J107" i="114" s="1"/>
  <c r="J108" i="114" s="1"/>
  <c r="J109" i="114" s="1"/>
  <c r="J110" i="114" s="1"/>
  <c r="J111" i="114" s="1"/>
  <c r="J112" i="114" s="1"/>
  <c r="K101" i="114" s="1"/>
  <c r="K102" i="114" s="1"/>
  <c r="K103" i="114" s="1"/>
  <c r="K104" i="114" s="1"/>
  <c r="K105" i="114" s="1"/>
  <c r="K106" i="114" s="1"/>
  <c r="K107" i="114" s="1"/>
  <c r="K108" i="114" s="1"/>
  <c r="K109" i="114" s="1"/>
  <c r="K110" i="114" s="1"/>
  <c r="K111" i="114" s="1"/>
  <c r="K112" i="114" s="1"/>
  <c r="L101" i="114" s="1"/>
  <c r="L102" i="114" s="1"/>
  <c r="L103" i="114" s="1"/>
  <c r="L104" i="114" s="1"/>
  <c r="L105" i="114" s="1"/>
  <c r="L106" i="114" s="1"/>
  <c r="L107" i="114" s="1"/>
  <c r="L108" i="114" s="1"/>
  <c r="L109" i="114" s="1"/>
  <c r="L110" i="114" s="1"/>
  <c r="L111" i="114" s="1"/>
  <c r="L112" i="114" s="1"/>
  <c r="C82" i="114"/>
  <c r="C83" i="114" s="1"/>
  <c r="C84" i="114" s="1"/>
  <c r="C85" i="114" s="1"/>
  <c r="C86" i="114" s="1"/>
  <c r="C87" i="114" s="1"/>
  <c r="C88" i="114" s="1"/>
  <c r="C89" i="114" s="1"/>
  <c r="C90" i="114" s="1"/>
  <c r="C91" i="114" s="1"/>
  <c r="C92" i="114" s="1"/>
  <c r="D82" i="114" s="1"/>
  <c r="D83" i="114" s="1"/>
  <c r="D84" i="114" s="1"/>
  <c r="D85" i="114" s="1"/>
  <c r="D86" i="114" s="1"/>
  <c r="D87" i="114" s="1"/>
  <c r="D88" i="114" s="1"/>
  <c r="D89" i="114" s="1"/>
  <c r="D90" i="114" s="1"/>
  <c r="D91" i="114" s="1"/>
  <c r="D92" i="114" s="1"/>
  <c r="E81" i="114" s="1"/>
  <c r="E82" i="114" s="1"/>
  <c r="E83" i="114" s="1"/>
  <c r="E84" i="114" s="1"/>
  <c r="E85" i="114" s="1"/>
  <c r="E86" i="114" s="1"/>
  <c r="E87" i="114" s="1"/>
  <c r="E88" i="114" s="1"/>
  <c r="E89" i="114" s="1"/>
  <c r="E90" i="114" s="1"/>
  <c r="E91" i="114" s="1"/>
  <c r="E92" i="114" s="1"/>
  <c r="F81" i="114" s="1"/>
  <c r="F82" i="114" s="1"/>
  <c r="F83" i="114" s="1"/>
  <c r="F84" i="114" s="1"/>
  <c r="F85" i="114" s="1"/>
  <c r="F86" i="114" s="1"/>
  <c r="F87" i="114" s="1"/>
  <c r="F88" i="114" s="1"/>
  <c r="F89" i="114" s="1"/>
  <c r="F90" i="114" s="1"/>
  <c r="F91" i="114" s="1"/>
  <c r="F92" i="114" s="1"/>
  <c r="C61" i="114"/>
  <c r="C62" i="114" s="1"/>
  <c r="C63" i="114" s="1"/>
  <c r="C64" i="114" s="1"/>
  <c r="C65" i="114" s="1"/>
  <c r="C66" i="114" s="1"/>
  <c r="C67" i="114" s="1"/>
  <c r="C68" i="114" s="1"/>
  <c r="C69" i="114" s="1"/>
  <c r="C70" i="114" s="1"/>
  <c r="C71" i="114" s="1"/>
  <c r="C72" i="114" s="1"/>
  <c r="D61" i="114" s="1"/>
  <c r="D62" i="114" s="1"/>
  <c r="D63" i="114" s="1"/>
  <c r="D64" i="114" s="1"/>
  <c r="D65" i="114" s="1"/>
  <c r="D66" i="114" s="1"/>
  <c r="D67" i="114" s="1"/>
  <c r="D68" i="114" s="1"/>
  <c r="D69" i="114" s="1"/>
  <c r="D70" i="114" s="1"/>
  <c r="D71" i="114" s="1"/>
  <c r="D72" i="114" s="1"/>
  <c r="E61" i="114" s="1"/>
  <c r="E62" i="114" s="1"/>
  <c r="E63" i="114" s="1"/>
  <c r="E64" i="114" s="1"/>
  <c r="E65" i="114" s="1"/>
  <c r="E66" i="114" s="1"/>
  <c r="E67" i="114" s="1"/>
  <c r="E68" i="114" s="1"/>
  <c r="E69" i="114" s="1"/>
  <c r="E70" i="114" s="1"/>
  <c r="E71" i="114" s="1"/>
  <c r="E72" i="114" s="1"/>
  <c r="F61" i="114" s="1"/>
  <c r="F62" i="114" s="1"/>
  <c r="F63" i="114" s="1"/>
  <c r="F64" i="114" s="1"/>
  <c r="F65" i="114" s="1"/>
  <c r="F66" i="114" s="1"/>
  <c r="F67" i="114" s="1"/>
  <c r="F68" i="114" s="1"/>
  <c r="F69" i="114" s="1"/>
  <c r="F70" i="114" s="1"/>
  <c r="F71" i="114" s="1"/>
  <c r="F72" i="114" s="1"/>
  <c r="G61" i="114" s="1"/>
  <c r="G62" i="114" s="1"/>
  <c r="G63" i="114" s="1"/>
  <c r="G64" i="114" s="1"/>
  <c r="G65" i="114" s="1"/>
  <c r="G66" i="114" s="1"/>
  <c r="G67" i="114" s="1"/>
  <c r="G68" i="114" s="1"/>
  <c r="G69" i="114" s="1"/>
  <c r="G70" i="114" s="1"/>
  <c r="G71" i="114" s="1"/>
  <c r="G72" i="114" s="1"/>
  <c r="H61" i="114" s="1"/>
  <c r="H62" i="114" s="1"/>
  <c r="H63" i="114" s="1"/>
  <c r="H64" i="114" s="1"/>
  <c r="H65" i="114" s="1"/>
  <c r="H66" i="114" s="1"/>
  <c r="H67" i="114" s="1"/>
  <c r="H68" i="114" s="1"/>
  <c r="H69" i="114" s="1"/>
  <c r="H70" i="114" s="1"/>
  <c r="H71" i="114" s="1"/>
  <c r="H72" i="114" s="1"/>
  <c r="I61" i="114" s="1"/>
  <c r="I62" i="114" s="1"/>
  <c r="I63" i="114" s="1"/>
  <c r="I64" i="114" s="1"/>
  <c r="I65" i="114" s="1"/>
  <c r="I66" i="114" s="1"/>
  <c r="I67" i="114" s="1"/>
  <c r="I68" i="114" s="1"/>
  <c r="I69" i="114" s="1"/>
  <c r="I70" i="114" s="1"/>
  <c r="I71" i="114" s="1"/>
  <c r="I72" i="114" s="1"/>
  <c r="J61" i="114" s="1"/>
  <c r="J62" i="114" s="1"/>
  <c r="J63" i="114" s="1"/>
  <c r="J64" i="114" s="1"/>
  <c r="J65" i="114" s="1"/>
  <c r="J66" i="114" s="1"/>
  <c r="J67" i="114" s="1"/>
  <c r="J68" i="114" s="1"/>
  <c r="J69" i="114" s="1"/>
  <c r="J70" i="114" s="1"/>
  <c r="J71" i="114" s="1"/>
  <c r="J72" i="114" s="1"/>
  <c r="K61" i="114" s="1"/>
  <c r="K62" i="114" s="1"/>
  <c r="K63" i="114" s="1"/>
  <c r="K64" i="114" s="1"/>
  <c r="K65" i="114" s="1"/>
  <c r="K66" i="114" s="1"/>
  <c r="K67" i="114" s="1"/>
  <c r="K68" i="114" s="1"/>
  <c r="K69" i="114" s="1"/>
  <c r="K70" i="114" s="1"/>
  <c r="K71" i="114" s="1"/>
  <c r="K72" i="114" s="1"/>
  <c r="L61" i="114" s="1"/>
  <c r="L62" i="114" s="1"/>
  <c r="L63" i="114" s="1"/>
  <c r="L64" i="114" s="1"/>
  <c r="L65" i="114" s="1"/>
  <c r="C42" i="114"/>
  <c r="C43" i="114" s="1"/>
  <c r="C44" i="114" s="1"/>
  <c r="C45" i="114" s="1"/>
  <c r="C46" i="114" s="1"/>
  <c r="C47" i="114" s="1"/>
  <c r="C48" i="114" s="1"/>
  <c r="C49" i="114" s="1"/>
  <c r="C50" i="114" s="1"/>
  <c r="C51" i="114" s="1"/>
  <c r="C52" i="114" s="1"/>
  <c r="C53" i="114" s="1"/>
  <c r="D42" i="114" s="1"/>
  <c r="D43" i="114" s="1"/>
  <c r="D44" i="114" s="1"/>
  <c r="D45" i="114" s="1"/>
  <c r="D46" i="114" s="1"/>
  <c r="D47" i="114" s="1"/>
  <c r="D48" i="114" s="1"/>
  <c r="D49" i="114" s="1"/>
  <c r="D50" i="114" s="1"/>
  <c r="D51" i="114" s="1"/>
  <c r="D52" i="114" s="1"/>
  <c r="D53" i="114" s="1"/>
  <c r="E42" i="114" s="1"/>
  <c r="E43" i="114" s="1"/>
  <c r="E44" i="114" s="1"/>
  <c r="E45" i="114" s="1"/>
  <c r="E46" i="114" s="1"/>
  <c r="E47" i="114" s="1"/>
  <c r="E48" i="114" s="1"/>
  <c r="E49" i="114" s="1"/>
  <c r="E50" i="114" s="1"/>
  <c r="E51" i="114" s="1"/>
  <c r="E52" i="114" s="1"/>
  <c r="E53" i="114" s="1"/>
  <c r="F42" i="114" s="1"/>
  <c r="F43" i="114" s="1"/>
  <c r="F44" i="114" s="1"/>
  <c r="F45" i="114" s="1"/>
  <c r="F46" i="114" s="1"/>
  <c r="F47" i="114" s="1"/>
  <c r="F48" i="114" s="1"/>
  <c r="F49" i="114" s="1"/>
  <c r="F50" i="114" s="1"/>
  <c r="F51" i="114" s="1"/>
  <c r="F52" i="114" s="1"/>
  <c r="F53" i="114" s="1"/>
  <c r="G42" i="114" s="1"/>
  <c r="G43" i="114" s="1"/>
  <c r="G44" i="114" s="1"/>
  <c r="G45" i="114" s="1"/>
  <c r="G46" i="114" s="1"/>
  <c r="G47" i="114" s="1"/>
  <c r="G48" i="114" s="1"/>
  <c r="G49" i="114" s="1"/>
  <c r="G50" i="114" s="1"/>
  <c r="G51" i="114" s="1"/>
  <c r="G52" i="114" s="1"/>
  <c r="G53" i="114" s="1"/>
  <c r="H42" i="114" s="1"/>
  <c r="H43" i="114" s="1"/>
  <c r="H44" i="114" s="1"/>
  <c r="H45" i="114" s="1"/>
  <c r="H46" i="114" s="1"/>
  <c r="H47" i="114" s="1"/>
  <c r="H48" i="114" s="1"/>
  <c r="H49" i="114" s="1"/>
  <c r="H50" i="114" s="1"/>
  <c r="H51" i="114" s="1"/>
  <c r="H52" i="114" s="1"/>
  <c r="H53" i="114" s="1"/>
  <c r="I42" i="114" s="1"/>
  <c r="I43" i="114" s="1"/>
  <c r="I44" i="114" s="1"/>
  <c r="I45" i="114" s="1"/>
  <c r="I46" i="114" s="1"/>
  <c r="I47" i="114" s="1"/>
  <c r="I48" i="114" s="1"/>
  <c r="I49" i="114" s="1"/>
  <c r="I50" i="114" s="1"/>
  <c r="I51" i="114" s="1"/>
  <c r="I52" i="114" s="1"/>
  <c r="I53" i="114" s="1"/>
  <c r="J42" i="114" s="1"/>
  <c r="J43" i="114" s="1"/>
  <c r="J44" i="114" s="1"/>
  <c r="J45" i="114" s="1"/>
  <c r="J46" i="114" s="1"/>
  <c r="J47" i="114" s="1"/>
  <c r="J48" i="114" s="1"/>
  <c r="J49" i="114" s="1"/>
  <c r="J50" i="114" s="1"/>
  <c r="J51" i="114" s="1"/>
  <c r="J52" i="114" s="1"/>
  <c r="J53" i="114" s="1"/>
  <c r="K42" i="114" s="1"/>
  <c r="K43" i="114" s="1"/>
  <c r="K44" i="114" s="1"/>
  <c r="K45" i="114" s="1"/>
  <c r="K46" i="114" s="1"/>
  <c r="K47" i="114" s="1"/>
  <c r="K48" i="114" s="1"/>
  <c r="K49" i="114" s="1"/>
  <c r="K50" i="114" s="1"/>
  <c r="K51" i="114" s="1"/>
  <c r="K52" i="114" s="1"/>
  <c r="K53" i="114" s="1"/>
  <c r="L42" i="114" s="1"/>
  <c r="L43" i="114" s="1"/>
  <c r="L44" i="114" s="1"/>
  <c r="L45" i="114" s="1"/>
  <c r="L46" i="114" s="1"/>
  <c r="L47" i="114" s="1"/>
  <c r="L48" i="114" s="1"/>
  <c r="L49" i="114" s="1"/>
  <c r="L50" i="114" s="1"/>
  <c r="L51" i="114" s="1"/>
  <c r="L52" i="114" s="1"/>
  <c r="L53" i="114" s="1"/>
  <c r="C23" i="114"/>
  <c r="C24" i="114" s="1"/>
  <c r="C25" i="114" s="1"/>
  <c r="C26" i="114" s="1"/>
  <c r="C27" i="114" s="1"/>
  <c r="C28" i="114" s="1"/>
  <c r="C29" i="114" s="1"/>
  <c r="C30" i="114" s="1"/>
  <c r="C31" i="114" s="1"/>
  <c r="C32" i="114" s="1"/>
  <c r="C33" i="114" s="1"/>
  <c r="C34" i="114" s="1"/>
  <c r="D23" i="114" s="1"/>
  <c r="D24" i="114" s="1"/>
  <c r="D25" i="114" s="1"/>
  <c r="D26" i="114" s="1"/>
  <c r="D27" i="114" s="1"/>
  <c r="D28" i="114" s="1"/>
  <c r="D29" i="114" s="1"/>
  <c r="D30" i="114" s="1"/>
  <c r="D31" i="114" s="1"/>
  <c r="D32" i="114" s="1"/>
  <c r="D33" i="114" s="1"/>
  <c r="D34" i="114" s="1"/>
  <c r="E23" i="114" s="1"/>
  <c r="E24" i="114" s="1"/>
  <c r="E25" i="114" s="1"/>
  <c r="E26" i="114" s="1"/>
  <c r="E27" i="114" s="1"/>
  <c r="E28" i="114" s="1"/>
  <c r="E29" i="114" s="1"/>
  <c r="E30" i="114" s="1"/>
  <c r="E31" i="114" s="1"/>
  <c r="E32" i="114" s="1"/>
  <c r="E33" i="114" s="1"/>
  <c r="E34" i="114" s="1"/>
  <c r="F23" i="114" s="1"/>
  <c r="F24" i="114" s="1"/>
  <c r="F25" i="114" s="1"/>
  <c r="F26" i="114" s="1"/>
  <c r="F27" i="114" s="1"/>
  <c r="F28" i="114" s="1"/>
  <c r="F29" i="114" s="1"/>
  <c r="F30" i="114" s="1"/>
  <c r="F31" i="114" s="1"/>
  <c r="F32" i="114" s="1"/>
  <c r="F33" i="114" s="1"/>
  <c r="F34" i="114" s="1"/>
  <c r="G23" i="114" s="1"/>
  <c r="G24" i="114" s="1"/>
  <c r="G25" i="114" s="1"/>
  <c r="G26" i="114" s="1"/>
  <c r="C4" i="114"/>
  <c r="C5" i="114" s="1"/>
  <c r="C6" i="114" s="1"/>
  <c r="C7" i="114" s="1"/>
  <c r="C8" i="114" s="1"/>
  <c r="A100" i="114"/>
  <c r="A60" i="114"/>
  <c r="A41" i="114"/>
  <c r="A22" i="114"/>
  <c r="C114" i="114" a="1"/>
  <c r="C114" i="114" s="1"/>
  <c r="C74" i="114" a="1"/>
  <c r="C74" i="114" s="1"/>
  <c r="C55" i="114" a="1"/>
  <c r="C55" i="114" s="1"/>
  <c r="C36" i="114" a="1"/>
  <c r="C36" i="114" s="1"/>
  <c r="A99" i="114"/>
  <c r="A79" i="114"/>
  <c r="A59" i="114"/>
  <c r="A40" i="114"/>
  <c r="A21" i="114"/>
  <c r="A3" i="114"/>
  <c r="C17" i="114" a="1"/>
  <c r="C17" i="114" s="1"/>
  <c r="N20" i="9"/>
  <c r="H123" i="72"/>
  <c r="R36" i="73" l="1" a="1"/>
  <c r="R36" i="73" s="1"/>
  <c r="R48" i="73" a="1"/>
  <c r="R48" i="73" s="1"/>
  <c r="G81" i="114"/>
  <c r="R60" i="73" a="1"/>
  <c r="R60" i="73" s="1"/>
  <c r="R24" i="73" a="1"/>
  <c r="R24" i="73" s="1"/>
  <c r="L66" i="114"/>
  <c r="L67" i="114" s="1"/>
  <c r="L68" i="114" s="1"/>
  <c r="L69" i="114" s="1"/>
  <c r="L70" i="114" s="1"/>
  <c r="L71" i="114" s="1"/>
  <c r="L72" i="114" s="1"/>
  <c r="G27" i="114"/>
  <c r="G28" i="114" s="1"/>
  <c r="G29" i="114" s="1"/>
  <c r="G30" i="114" s="1"/>
  <c r="G31" i="114" s="1"/>
  <c r="G32" i="114" s="1"/>
  <c r="G33" i="114" s="1"/>
  <c r="G34" i="114" s="1"/>
  <c r="H23" i="114" s="1"/>
  <c r="H24" i="114" s="1"/>
  <c r="H25" i="114" s="1"/>
  <c r="H26" i="114" s="1"/>
  <c r="H27" i="114" s="1"/>
  <c r="H28" i="114" s="1"/>
  <c r="H29" i="114" s="1"/>
  <c r="H30" i="114" s="1"/>
  <c r="H31" i="114" s="1"/>
  <c r="H32" i="114" s="1"/>
  <c r="H33" i="114" s="1"/>
  <c r="H34" i="114" s="1"/>
  <c r="I23" i="114" s="1"/>
  <c r="I24" i="114" s="1"/>
  <c r="I25" i="114" s="1"/>
  <c r="I26" i="114" s="1"/>
  <c r="I27" i="114" s="1"/>
  <c r="I28" i="114" s="1"/>
  <c r="I29" i="114" s="1"/>
  <c r="I30" i="114" s="1"/>
  <c r="I31" i="114" s="1"/>
  <c r="I32" i="114" s="1"/>
  <c r="I33" i="114" s="1"/>
  <c r="I34" i="114" s="1"/>
  <c r="J23" i="114" s="1"/>
  <c r="J24" i="114" s="1"/>
  <c r="J25" i="114" s="1"/>
  <c r="J26" i="114" s="1"/>
  <c r="J27" i="114" s="1"/>
  <c r="J28" i="114" s="1"/>
  <c r="J29" i="114" s="1"/>
  <c r="J30" i="114" s="1"/>
  <c r="J31" i="114" s="1"/>
  <c r="J32" i="114" s="1"/>
  <c r="J33" i="114" s="1"/>
  <c r="J34" i="114" s="1"/>
  <c r="K23" i="114" s="1"/>
  <c r="K24" i="114" s="1"/>
  <c r="K25" i="114" s="1"/>
  <c r="K26" i="114" s="1"/>
  <c r="K27" i="114" s="1"/>
  <c r="K28" i="114" s="1"/>
  <c r="K29" i="114" s="1"/>
  <c r="K30" i="114" s="1"/>
  <c r="K31" i="114" s="1"/>
  <c r="K32" i="114" s="1"/>
  <c r="K33" i="114" s="1"/>
  <c r="K34" i="114" s="1"/>
  <c r="L23" i="114" s="1"/>
  <c r="L24" i="114" s="1"/>
  <c r="L25" i="114" s="1"/>
  <c r="L26" i="114" s="1"/>
  <c r="L27" i="114" s="1"/>
  <c r="L28" i="114" s="1"/>
  <c r="L29" i="114" s="1"/>
  <c r="L30" i="114" s="1"/>
  <c r="L31" i="114" s="1"/>
  <c r="L32" i="114" s="1"/>
  <c r="L33" i="114" s="1"/>
  <c r="L34" i="114" s="1"/>
  <c r="C73" i="114"/>
  <c r="C75" i="114" s="1"/>
  <c r="C54" i="114"/>
  <c r="C56" i="114" s="1"/>
  <c r="C35" i="114"/>
  <c r="C37" i="114" s="1"/>
  <c r="C9" i="114"/>
  <c r="C10" i="114" s="1"/>
  <c r="C11" i="114" s="1"/>
  <c r="C12" i="114" s="1"/>
  <c r="C13" i="114" s="1"/>
  <c r="C14" i="114" s="1"/>
  <c r="C15" i="114" s="1"/>
  <c r="W143" i="73"/>
  <c r="W131" i="73"/>
  <c r="V143" i="73"/>
  <c r="V131" i="73"/>
  <c r="T143" i="73"/>
  <c r="T131" i="73"/>
  <c r="S143" i="73"/>
  <c r="S131" i="73"/>
  <c r="Q143" i="73"/>
  <c r="Q131" i="73"/>
  <c r="P143" i="73"/>
  <c r="P131" i="73"/>
  <c r="M143" i="73"/>
  <c r="M119" i="73"/>
  <c r="M107" i="73"/>
  <c r="M131" i="73"/>
  <c r="K143" i="73"/>
  <c r="J143" i="73"/>
  <c r="H143" i="73"/>
  <c r="F143" i="73"/>
  <c r="S19" i="91"/>
  <c r="S20" i="91"/>
  <c r="S21" i="91"/>
  <c r="S22" i="91"/>
  <c r="S23" i="91"/>
  <c r="S24" i="91"/>
  <c r="S25" i="91"/>
  <c r="S26" i="91"/>
  <c r="S27" i="91"/>
  <c r="S18" i="91"/>
  <c r="R19" i="91"/>
  <c r="R20" i="91"/>
  <c r="R21" i="91"/>
  <c r="R22" i="91"/>
  <c r="R23" i="91"/>
  <c r="R24" i="91"/>
  <c r="R25" i="91"/>
  <c r="R26" i="91"/>
  <c r="R27" i="91"/>
  <c r="Q19" i="91"/>
  <c r="Q20" i="91"/>
  <c r="Q21" i="91"/>
  <c r="Q22" i="91"/>
  <c r="Q23" i="91"/>
  <c r="Q24" i="91"/>
  <c r="Q25" i="91"/>
  <c r="Q26" i="91"/>
  <c r="Q27" i="91"/>
  <c r="P27" i="91"/>
  <c r="P21" i="91"/>
  <c r="P22" i="91"/>
  <c r="P23" i="91"/>
  <c r="P24" i="91"/>
  <c r="P25" i="91"/>
  <c r="P26" i="91"/>
  <c r="P19" i="91"/>
  <c r="P20" i="91"/>
  <c r="P18" i="91"/>
  <c r="O19" i="91"/>
  <c r="O20" i="91"/>
  <c r="O21" i="91"/>
  <c r="O22" i="91"/>
  <c r="O23" i="91"/>
  <c r="O24" i="91"/>
  <c r="O25" i="91"/>
  <c r="O26" i="91"/>
  <c r="O27" i="91"/>
  <c r="O18" i="91"/>
  <c r="N24" i="91"/>
  <c r="N25" i="91"/>
  <c r="N26" i="91"/>
  <c r="N27" i="91"/>
  <c r="N19" i="91"/>
  <c r="N20" i="91"/>
  <c r="N21" i="91"/>
  <c r="N22" i="91"/>
  <c r="N23" i="91"/>
  <c r="N18" i="91"/>
  <c r="M19" i="91"/>
  <c r="M20" i="91"/>
  <c r="M21" i="91"/>
  <c r="M22" i="91"/>
  <c r="M25" i="91"/>
  <c r="M26" i="91"/>
  <c r="M27" i="91"/>
  <c r="M18" i="91"/>
  <c r="L19" i="91"/>
  <c r="L20" i="91"/>
  <c r="L21" i="91"/>
  <c r="L22" i="91"/>
  <c r="L23" i="91"/>
  <c r="L24" i="91"/>
  <c r="L25" i="91"/>
  <c r="L26" i="91"/>
  <c r="L27" i="91"/>
  <c r="K19" i="91"/>
  <c r="K20" i="91"/>
  <c r="K21" i="91"/>
  <c r="K22" i="91"/>
  <c r="K23" i="91"/>
  <c r="K24" i="91"/>
  <c r="K25" i="91"/>
  <c r="K26" i="91"/>
  <c r="K27" i="91"/>
  <c r="J27" i="91"/>
  <c r="J19" i="91"/>
  <c r="J20" i="91"/>
  <c r="J21" i="91"/>
  <c r="J22" i="91"/>
  <c r="J23" i="91"/>
  <c r="J24" i="91"/>
  <c r="J25" i="91"/>
  <c r="J26" i="91"/>
  <c r="J18" i="91"/>
  <c r="I19" i="91"/>
  <c r="I20" i="91"/>
  <c r="I21" i="91"/>
  <c r="I22" i="91"/>
  <c r="I23" i="91"/>
  <c r="I24" i="91"/>
  <c r="I25" i="91"/>
  <c r="I26" i="91"/>
  <c r="I27" i="91"/>
  <c r="I18" i="91"/>
  <c r="H27" i="91"/>
  <c r="H19" i="91"/>
  <c r="H20" i="91"/>
  <c r="H21" i="91"/>
  <c r="H22" i="91"/>
  <c r="H23" i="91"/>
  <c r="H24" i="91"/>
  <c r="H25" i="91"/>
  <c r="H26" i="91"/>
  <c r="H18" i="91"/>
  <c r="G19" i="91"/>
  <c r="G20" i="91"/>
  <c r="G21" i="91"/>
  <c r="G22" i="91"/>
  <c r="G23" i="91"/>
  <c r="G24" i="91"/>
  <c r="G25" i="91"/>
  <c r="G26" i="91"/>
  <c r="G27" i="91"/>
  <c r="F19" i="91"/>
  <c r="F20" i="91"/>
  <c r="F21" i="91"/>
  <c r="F22" i="91"/>
  <c r="F23" i="91"/>
  <c r="F24" i="91"/>
  <c r="F25" i="91"/>
  <c r="F26" i="91"/>
  <c r="F27" i="91"/>
  <c r="E19" i="91"/>
  <c r="E20" i="91"/>
  <c r="E21" i="91"/>
  <c r="E22" i="91"/>
  <c r="E23" i="91"/>
  <c r="E24" i="91"/>
  <c r="E25" i="91"/>
  <c r="E26" i="91"/>
  <c r="E27" i="91"/>
  <c r="E18" i="91"/>
  <c r="D19" i="91"/>
  <c r="D20" i="91"/>
  <c r="D21" i="91"/>
  <c r="D22" i="91"/>
  <c r="D23" i="91"/>
  <c r="D24" i="91"/>
  <c r="D25" i="91"/>
  <c r="D26" i="91"/>
  <c r="D27" i="91"/>
  <c r="D18" i="91"/>
  <c r="C19" i="91"/>
  <c r="C20" i="91"/>
  <c r="C21" i="91"/>
  <c r="C22" i="91"/>
  <c r="C23" i="91"/>
  <c r="C24" i="91"/>
  <c r="C25" i="91"/>
  <c r="C26" i="91"/>
  <c r="C27" i="91"/>
  <c r="C18" i="91"/>
  <c r="B27" i="91"/>
  <c r="B19" i="91"/>
  <c r="B20" i="91"/>
  <c r="B21" i="91"/>
  <c r="B22" i="91"/>
  <c r="B23" i="91"/>
  <c r="B24" i="91"/>
  <c r="B25" i="91"/>
  <c r="B26" i="91"/>
  <c r="B18" i="91"/>
  <c r="AI14" i="91"/>
  <c r="AJ14" i="91"/>
  <c r="AI13" i="91"/>
  <c r="AG13" i="91"/>
  <c r="AG14" i="91" s="1"/>
  <c r="S13" i="91"/>
  <c r="S14" i="91" s="1"/>
  <c r="Q13" i="91"/>
  <c r="Q14" i="91" s="1"/>
  <c r="AE13" i="91"/>
  <c r="AE14" i="91"/>
  <c r="AC13" i="91"/>
  <c r="AA14" i="91"/>
  <c r="AA13" i="91"/>
  <c r="AC14" i="91"/>
  <c r="W14" i="91"/>
  <c r="U14" i="91"/>
  <c r="O14" i="91"/>
  <c r="M14" i="91"/>
  <c r="K14" i="91"/>
  <c r="I14" i="91"/>
  <c r="G14" i="91"/>
  <c r="E14" i="91"/>
  <c r="Y13" i="91"/>
  <c r="W13" i="91"/>
  <c r="U13" i="91"/>
  <c r="O13" i="91"/>
  <c r="M13" i="91"/>
  <c r="K13" i="91"/>
  <c r="I13" i="91"/>
  <c r="G13" i="91"/>
  <c r="E13" i="91"/>
  <c r="C13" i="91"/>
  <c r="C8" i="91"/>
  <c r="G82" i="114" l="1"/>
  <c r="G83" i="114" s="1"/>
  <c r="G84" i="114" s="1"/>
  <c r="G85" i="114" s="1"/>
  <c r="G86" i="114" s="1"/>
  <c r="G87" i="114" s="1"/>
  <c r="G88" i="114" s="1"/>
  <c r="G89" i="114" s="1"/>
  <c r="G90" i="114" s="1"/>
  <c r="G91" i="114" s="1"/>
  <c r="G92" i="114" s="1"/>
  <c r="H81" i="114" s="1"/>
  <c r="D4" i="114"/>
  <c r="D5" i="114" s="1"/>
  <c r="D6" i="114" s="1"/>
  <c r="D7" i="114" s="1"/>
  <c r="D8" i="114" s="1"/>
  <c r="D9" i="114" s="1"/>
  <c r="D10" i="114" s="1"/>
  <c r="D11" i="114" s="1"/>
  <c r="D12" i="114" s="1"/>
  <c r="D13" i="114" s="1"/>
  <c r="D14" i="114" s="1"/>
  <c r="D15" i="114" s="1"/>
  <c r="C93" i="114"/>
  <c r="D54" i="114"/>
  <c r="D56" i="114" s="1"/>
  <c r="C113" i="114"/>
  <c r="C115" i="114" s="1"/>
  <c r="D93" i="114"/>
  <c r="D73" i="114"/>
  <c r="D75" i="114" s="1"/>
  <c r="D35" i="114"/>
  <c r="D37" i="114" s="1"/>
  <c r="C16" i="114"/>
  <c r="C18" i="114" s="1"/>
  <c r="H82" i="114" l="1"/>
  <c r="H83" i="114" s="1"/>
  <c r="H84" i="114" s="1"/>
  <c r="H85" i="114" s="1"/>
  <c r="H86" i="114" s="1"/>
  <c r="H87" i="114" s="1"/>
  <c r="H88" i="114" s="1"/>
  <c r="H89" i="114" s="1"/>
  <c r="H90" i="114" s="1"/>
  <c r="H91" i="114" s="1"/>
  <c r="H92" i="114" s="1"/>
  <c r="I81" i="114" s="1"/>
  <c r="R72" i="73" a="1"/>
  <c r="R72" i="73" s="1"/>
  <c r="E4" i="114"/>
  <c r="D113" i="114"/>
  <c r="D115" i="114" s="1"/>
  <c r="E93" i="114"/>
  <c r="E73" i="114"/>
  <c r="E75" i="114" s="1"/>
  <c r="E54" i="114"/>
  <c r="E56" i="114" s="1"/>
  <c r="E35" i="114"/>
  <c r="E37" i="114" s="1"/>
  <c r="D16" i="114"/>
  <c r="D18" i="114" s="1"/>
  <c r="E161" i="72"/>
  <c r="F161" i="72"/>
  <c r="E160" i="72"/>
  <c r="F160" i="72"/>
  <c r="E159" i="72"/>
  <c r="F159" i="72"/>
  <c r="E158" i="72"/>
  <c r="F158" i="72"/>
  <c r="E157" i="72"/>
  <c r="F157" i="72"/>
  <c r="E156" i="72"/>
  <c r="F156" i="72"/>
  <c r="E155" i="72"/>
  <c r="F155" i="72"/>
  <c r="E154" i="72"/>
  <c r="F154" i="72"/>
  <c r="E153" i="72"/>
  <c r="F153" i="72"/>
  <c r="E152" i="72"/>
  <c r="F152" i="72"/>
  <c r="N122" i="72"/>
  <c r="N134" i="72" s="1"/>
  <c r="N146" i="72" s="1"/>
  <c r="N116" i="72"/>
  <c r="N128" i="72" s="1"/>
  <c r="N140" i="72" s="1"/>
  <c r="N115" i="72"/>
  <c r="N127" i="72" s="1"/>
  <c r="N139" i="72" s="1"/>
  <c r="N114" i="72"/>
  <c r="N126" i="72" s="1"/>
  <c r="N138" i="72" s="1"/>
  <c r="N112" i="72"/>
  <c r="N124" i="72" s="1"/>
  <c r="N136" i="72" s="1"/>
  <c r="N111" i="72"/>
  <c r="N123" i="72" s="1"/>
  <c r="N135" i="72" s="1"/>
  <c r="H134" i="72"/>
  <c r="H35" i="17"/>
  <c r="N12" i="9"/>
  <c r="M12" i="9"/>
  <c r="L12" i="9"/>
  <c r="K11" i="9"/>
  <c r="K12" i="9"/>
  <c r="J12" i="9"/>
  <c r="I12" i="9"/>
  <c r="H12" i="9"/>
  <c r="R84" i="73" l="1" a="1"/>
  <c r="R84" i="73" s="1"/>
  <c r="F10" i="73" s="1"/>
  <c r="I82" i="114"/>
  <c r="I83" i="114" s="1"/>
  <c r="I84" i="114" s="1"/>
  <c r="I85" i="114" s="1"/>
  <c r="I86" i="114" s="1"/>
  <c r="I87" i="114" s="1"/>
  <c r="I88" i="114" s="1"/>
  <c r="I89" i="114" s="1"/>
  <c r="I90" i="114" s="1"/>
  <c r="I91" i="114" s="1"/>
  <c r="I92" i="114" s="1"/>
  <c r="J81" i="114" s="1"/>
  <c r="E5" i="114"/>
  <c r="E6" i="114" s="1"/>
  <c r="E7" i="114" s="1"/>
  <c r="E8" i="114" s="1"/>
  <c r="E9" i="114" s="1"/>
  <c r="E10" i="114" s="1"/>
  <c r="E11" i="114" s="1"/>
  <c r="E12" i="114" s="1"/>
  <c r="E13" i="114" s="1"/>
  <c r="E14" i="114" s="1"/>
  <c r="E15" i="114" s="1"/>
  <c r="F73" i="114"/>
  <c r="F75" i="114" s="1"/>
  <c r="F93" i="114"/>
  <c r="E113" i="114"/>
  <c r="E115" i="114" s="1"/>
  <c r="F54" i="114"/>
  <c r="F56" i="114" s="1"/>
  <c r="F35" i="114"/>
  <c r="F37" i="114" s="1"/>
  <c r="F165" i="72"/>
  <c r="E165" i="72"/>
  <c r="G12" i="9"/>
  <c r="I15" i="106"/>
  <c r="H15" i="106"/>
  <c r="I123" i="72"/>
  <c r="C143" i="73"/>
  <c r="N11" i="17" s="1"/>
  <c r="P12" i="17" s="1"/>
  <c r="B14" i="73"/>
  <c r="B20" i="17" s="1"/>
  <c r="A35" i="17"/>
  <c r="A43" i="9"/>
  <c r="A42" i="9"/>
  <c r="A38" i="9"/>
  <c r="A37" i="9"/>
  <c r="A33" i="9"/>
  <c r="A32" i="9"/>
  <c r="A28" i="9"/>
  <c r="A27" i="9"/>
  <c r="N21" i="9"/>
  <c r="N22" i="9" s="1"/>
  <c r="H20" i="17"/>
  <c r="H16" i="106"/>
  <c r="I16" i="106"/>
  <c r="H17" i="106"/>
  <c r="I17" i="106"/>
  <c r="H18" i="106"/>
  <c r="I18" i="106"/>
  <c r="H19" i="106"/>
  <c r="I19" i="106"/>
  <c r="H20" i="106"/>
  <c r="I20" i="106"/>
  <c r="H21" i="106"/>
  <c r="H33" i="106" s="1"/>
  <c r="H45" i="106" s="1"/>
  <c r="H57" i="106" s="1"/>
  <c r="H69" i="106" s="1"/>
  <c r="I21" i="106"/>
  <c r="H22" i="106"/>
  <c r="I22" i="106"/>
  <c r="H23" i="106"/>
  <c r="H35" i="106" s="1"/>
  <c r="H47" i="106" s="1"/>
  <c r="H59" i="106" s="1"/>
  <c r="H71" i="106" s="1"/>
  <c r="H83" i="106" s="1"/>
  <c r="H95" i="106" s="1"/>
  <c r="H107" i="106" s="1"/>
  <c r="H119" i="106" s="1"/>
  <c r="H131" i="106" s="1"/>
  <c r="H143" i="106" s="1"/>
  <c r="I23" i="106"/>
  <c r="H24" i="106"/>
  <c r="I24" i="106"/>
  <c r="I36" i="106" s="1"/>
  <c r="I48" i="106" s="1"/>
  <c r="I60" i="106" s="1"/>
  <c r="I72" i="106" s="1"/>
  <c r="I84" i="106" s="1"/>
  <c r="I96" i="106" s="1"/>
  <c r="I108" i="106" s="1"/>
  <c r="H25" i="106"/>
  <c r="I25" i="106"/>
  <c r="H26" i="106"/>
  <c r="I26" i="106"/>
  <c r="H27" i="106"/>
  <c r="I27" i="106"/>
  <c r="H28" i="106"/>
  <c r="I28" i="106"/>
  <c r="H29" i="106"/>
  <c r="I29" i="106"/>
  <c r="H30" i="106"/>
  <c r="I30" i="106"/>
  <c r="H31" i="106"/>
  <c r="I31" i="106"/>
  <c r="H32" i="106"/>
  <c r="I32" i="106"/>
  <c r="I33" i="106"/>
  <c r="H34" i="106"/>
  <c r="I34" i="106"/>
  <c r="I35" i="106"/>
  <c r="H36" i="106"/>
  <c r="H37" i="106"/>
  <c r="I37" i="106"/>
  <c r="H38" i="106"/>
  <c r="I38" i="106"/>
  <c r="H39" i="106"/>
  <c r="I39" i="106"/>
  <c r="H40" i="106"/>
  <c r="I40" i="106"/>
  <c r="H41" i="106"/>
  <c r="I41" i="106"/>
  <c r="H42" i="106"/>
  <c r="I42" i="106"/>
  <c r="H43" i="106"/>
  <c r="I43" i="106"/>
  <c r="H44" i="106"/>
  <c r="I44" i="106"/>
  <c r="I45" i="106"/>
  <c r="H46" i="106"/>
  <c r="I46" i="106"/>
  <c r="I47" i="106"/>
  <c r="H48" i="106"/>
  <c r="H49" i="106"/>
  <c r="I49" i="106"/>
  <c r="H50" i="106"/>
  <c r="I50" i="106"/>
  <c r="H51" i="106"/>
  <c r="I51" i="106"/>
  <c r="H52" i="106"/>
  <c r="I52" i="106"/>
  <c r="H53" i="106"/>
  <c r="I53" i="106"/>
  <c r="H54" i="106"/>
  <c r="I54" i="106"/>
  <c r="H55" i="106"/>
  <c r="I55" i="106"/>
  <c r="H56" i="106"/>
  <c r="I56" i="106"/>
  <c r="I57" i="106"/>
  <c r="H58" i="106"/>
  <c r="I58" i="106"/>
  <c r="I59" i="106"/>
  <c r="H60" i="106"/>
  <c r="H61" i="106"/>
  <c r="I61" i="106"/>
  <c r="H62" i="106"/>
  <c r="I62" i="106"/>
  <c r="H63" i="106"/>
  <c r="I63" i="106"/>
  <c r="H64" i="106"/>
  <c r="I64" i="106"/>
  <c r="H65" i="106"/>
  <c r="I65" i="106"/>
  <c r="H66" i="106"/>
  <c r="I66" i="106"/>
  <c r="H67" i="106"/>
  <c r="I67" i="106"/>
  <c r="H68" i="106"/>
  <c r="I68" i="106"/>
  <c r="I69" i="106"/>
  <c r="H70" i="106"/>
  <c r="I70" i="106"/>
  <c r="I71" i="106"/>
  <c r="H72" i="106"/>
  <c r="H73" i="106"/>
  <c r="I73" i="106"/>
  <c r="H74" i="106"/>
  <c r="I74" i="106"/>
  <c r="H75" i="106"/>
  <c r="I75" i="106"/>
  <c r="H76" i="106"/>
  <c r="I76" i="106"/>
  <c r="H77" i="106"/>
  <c r="I77" i="106"/>
  <c r="H78" i="106"/>
  <c r="I78" i="106"/>
  <c r="H79" i="106"/>
  <c r="I79" i="106"/>
  <c r="H80" i="106"/>
  <c r="I80" i="106"/>
  <c r="I81" i="106"/>
  <c r="H82" i="106"/>
  <c r="I82" i="106"/>
  <c r="I83" i="106"/>
  <c r="H84" i="106"/>
  <c r="H85" i="106"/>
  <c r="I85" i="106"/>
  <c r="H86" i="106"/>
  <c r="I86" i="106"/>
  <c r="H87" i="106"/>
  <c r="I87" i="106"/>
  <c r="H88" i="106"/>
  <c r="I88" i="106"/>
  <c r="H89" i="106"/>
  <c r="I89" i="106"/>
  <c r="H90" i="106"/>
  <c r="I90" i="106"/>
  <c r="H91" i="106"/>
  <c r="I91" i="106"/>
  <c r="H92" i="106"/>
  <c r="I92" i="106"/>
  <c r="I93" i="106"/>
  <c r="H94" i="106"/>
  <c r="I94" i="106"/>
  <c r="I95" i="106"/>
  <c r="H96" i="106"/>
  <c r="H97" i="106"/>
  <c r="I97" i="106"/>
  <c r="H98" i="106"/>
  <c r="I98" i="106"/>
  <c r="H99" i="106"/>
  <c r="I99" i="106"/>
  <c r="H100" i="106"/>
  <c r="I100" i="106"/>
  <c r="H101" i="106"/>
  <c r="I101" i="106"/>
  <c r="H102" i="106"/>
  <c r="I102" i="106"/>
  <c r="H103" i="106"/>
  <c r="I103" i="106"/>
  <c r="H104" i="106"/>
  <c r="I104" i="106"/>
  <c r="I105" i="106"/>
  <c r="H106" i="106"/>
  <c r="I106" i="106"/>
  <c r="I107" i="106"/>
  <c r="H108" i="106"/>
  <c r="H109" i="106"/>
  <c r="I109" i="106"/>
  <c r="H110" i="106"/>
  <c r="I110" i="106"/>
  <c r="H111" i="106"/>
  <c r="I111" i="106"/>
  <c r="H112" i="106"/>
  <c r="I112" i="106"/>
  <c r="H113" i="106"/>
  <c r="I113" i="106"/>
  <c r="H114" i="106"/>
  <c r="I114" i="106"/>
  <c r="H115" i="106"/>
  <c r="I115" i="106"/>
  <c r="H116" i="106"/>
  <c r="I116" i="106"/>
  <c r="I117" i="106"/>
  <c r="H118" i="106"/>
  <c r="I118" i="106"/>
  <c r="I119" i="106"/>
  <c r="H120" i="106"/>
  <c r="H121" i="106"/>
  <c r="I121" i="106"/>
  <c r="H122" i="106"/>
  <c r="I122" i="106"/>
  <c r="H123" i="106"/>
  <c r="I123" i="106"/>
  <c r="H124" i="106"/>
  <c r="I124" i="106"/>
  <c r="H125" i="106"/>
  <c r="I125" i="106"/>
  <c r="H126" i="106"/>
  <c r="I126" i="106"/>
  <c r="H127" i="106"/>
  <c r="I127" i="106"/>
  <c r="H128" i="106"/>
  <c r="I128" i="106"/>
  <c r="I129" i="106"/>
  <c r="H130" i="106"/>
  <c r="I130" i="106"/>
  <c r="I131" i="106"/>
  <c r="H132" i="106"/>
  <c r="H133" i="106"/>
  <c r="I133" i="106"/>
  <c r="H134" i="106"/>
  <c r="I134" i="106"/>
  <c r="H135" i="106"/>
  <c r="I135" i="106"/>
  <c r="H136" i="106"/>
  <c r="I136" i="106"/>
  <c r="H137" i="106"/>
  <c r="I137" i="106"/>
  <c r="H138" i="106"/>
  <c r="I138" i="106"/>
  <c r="H139" i="106"/>
  <c r="I139" i="106"/>
  <c r="H140" i="106"/>
  <c r="I140" i="106"/>
  <c r="I141" i="106"/>
  <c r="H142" i="106"/>
  <c r="I142" i="106"/>
  <c r="I143" i="106"/>
  <c r="H144" i="106"/>
  <c r="H145" i="106"/>
  <c r="I145" i="106"/>
  <c r="H146" i="106"/>
  <c r="I146" i="106"/>
  <c r="F161" i="106"/>
  <c r="E161" i="106"/>
  <c r="F160" i="106"/>
  <c r="E160" i="106"/>
  <c r="F159" i="106"/>
  <c r="E159" i="106"/>
  <c r="F158" i="106"/>
  <c r="E158" i="106"/>
  <c r="F157" i="106"/>
  <c r="E157" i="106"/>
  <c r="F156" i="106"/>
  <c r="E156" i="106"/>
  <c r="F155" i="106"/>
  <c r="E155" i="106"/>
  <c r="F154" i="106"/>
  <c r="E154" i="106"/>
  <c r="F153" i="106"/>
  <c r="E153" i="106"/>
  <c r="F152" i="106"/>
  <c r="E152" i="106"/>
  <c r="N145" i="106"/>
  <c r="M145" i="106"/>
  <c r="N142" i="106"/>
  <c r="M142" i="106"/>
  <c r="N138" i="106"/>
  <c r="M137" i="106"/>
  <c r="N136" i="106"/>
  <c r="N132" i="106"/>
  <c r="N144" i="106" s="1"/>
  <c r="M131" i="106"/>
  <c r="M143" i="106" s="1"/>
  <c r="N130" i="106"/>
  <c r="N129" i="106"/>
  <c r="N141" i="106" s="1"/>
  <c r="M129" i="106"/>
  <c r="M141" i="106" s="1"/>
  <c r="N124" i="106"/>
  <c r="M124" i="106"/>
  <c r="M136" i="106" s="1"/>
  <c r="N122" i="106"/>
  <c r="N134" i="106" s="1"/>
  <c r="N146" i="106" s="1"/>
  <c r="M122" i="106"/>
  <c r="M134" i="106" s="1"/>
  <c r="M146" i="106" s="1"/>
  <c r="N121" i="106"/>
  <c r="N133" i="106" s="1"/>
  <c r="M121" i="106"/>
  <c r="M133" i="106" s="1"/>
  <c r="N120" i="106"/>
  <c r="M120" i="106"/>
  <c r="M132" i="106" s="1"/>
  <c r="N119" i="106"/>
  <c r="N131" i="106" s="1"/>
  <c r="N143" i="106" s="1"/>
  <c r="M119" i="106"/>
  <c r="N118" i="106"/>
  <c r="M118" i="106"/>
  <c r="M130" i="106" s="1"/>
  <c r="N117" i="106"/>
  <c r="M117" i="106"/>
  <c r="N116" i="106"/>
  <c r="N128" i="106" s="1"/>
  <c r="N140" i="106" s="1"/>
  <c r="M116" i="106"/>
  <c r="M128" i="106" s="1"/>
  <c r="M140" i="106" s="1"/>
  <c r="N115" i="106"/>
  <c r="N127" i="106" s="1"/>
  <c r="N139" i="106" s="1"/>
  <c r="M115" i="106"/>
  <c r="M127" i="106" s="1"/>
  <c r="M139" i="106" s="1"/>
  <c r="N114" i="106"/>
  <c r="N126" i="106" s="1"/>
  <c r="M114" i="106"/>
  <c r="M126" i="106" s="1"/>
  <c r="N113" i="106"/>
  <c r="N125" i="106" s="1"/>
  <c r="N137" i="106" s="1"/>
  <c r="M113" i="106"/>
  <c r="M125" i="106" s="1"/>
  <c r="N112" i="106"/>
  <c r="M112" i="106"/>
  <c r="N111" i="106"/>
  <c r="N123" i="106" s="1"/>
  <c r="N135" i="106" s="1"/>
  <c r="M111" i="106"/>
  <c r="M123" i="106" s="1"/>
  <c r="M135" i="106" s="1"/>
  <c r="B3" i="106" a="1"/>
  <c r="D96" i="106" s="1"/>
  <c r="G96" i="106" s="1"/>
  <c r="R96" i="73" l="1" a="1"/>
  <c r="R96" i="73" s="1"/>
  <c r="J82" i="114"/>
  <c r="J83" i="114" s="1"/>
  <c r="J84" i="114" s="1"/>
  <c r="J85" i="114" s="1"/>
  <c r="J86" i="114" s="1"/>
  <c r="J87" i="114" s="1"/>
  <c r="J88" i="114" s="1"/>
  <c r="J89" i="114" s="1"/>
  <c r="J90" i="114" s="1"/>
  <c r="J91" i="114" s="1"/>
  <c r="J92" i="114" s="1"/>
  <c r="K81" i="114" s="1"/>
  <c r="E16" i="114"/>
  <c r="E18" i="114" s="1"/>
  <c r="F4" i="114"/>
  <c r="G93" i="114"/>
  <c r="G54" i="114"/>
  <c r="G56" i="114" s="1"/>
  <c r="G73" i="114"/>
  <c r="G75" i="114" s="1"/>
  <c r="G35" i="114"/>
  <c r="G37" i="114" s="1"/>
  <c r="F113" i="114"/>
  <c r="F115" i="114" s="1"/>
  <c r="P13" i="17"/>
  <c r="H20" i="9"/>
  <c r="D33" i="106"/>
  <c r="G33" i="106" s="1"/>
  <c r="D116" i="106"/>
  <c r="G116" i="106" s="1"/>
  <c r="D20" i="106"/>
  <c r="G20" i="106" s="1"/>
  <c r="D30" i="106"/>
  <c r="G30" i="106" s="1"/>
  <c r="D54" i="106"/>
  <c r="G54" i="106" s="1"/>
  <c r="D22" i="106"/>
  <c r="G22" i="106" s="1"/>
  <c r="D57" i="106"/>
  <c r="G57" i="106" s="1"/>
  <c r="D14" i="106"/>
  <c r="G14" i="106" s="1"/>
  <c r="D32" i="106"/>
  <c r="G32" i="106" s="1"/>
  <c r="D15" i="106"/>
  <c r="D24" i="106"/>
  <c r="G24" i="106" s="1"/>
  <c r="D69" i="106"/>
  <c r="G69" i="106" s="1"/>
  <c r="D5" i="106"/>
  <c r="G5" i="106" s="1"/>
  <c r="D25" i="106"/>
  <c r="G25" i="106" s="1"/>
  <c r="D39" i="106"/>
  <c r="G39" i="106" s="1"/>
  <c r="D17" i="106"/>
  <c r="G17" i="106" s="1"/>
  <c r="D26" i="106"/>
  <c r="G26" i="106" s="1"/>
  <c r="D40" i="106"/>
  <c r="G40" i="106" s="1"/>
  <c r="D86" i="106"/>
  <c r="G86" i="106" s="1"/>
  <c r="D6" i="106"/>
  <c r="G6" i="106" s="1"/>
  <c r="D18" i="106"/>
  <c r="G18" i="106" s="1"/>
  <c r="D27" i="106"/>
  <c r="G27" i="106" s="1"/>
  <c r="D42" i="106"/>
  <c r="G42" i="106" s="1"/>
  <c r="D88" i="106"/>
  <c r="G88" i="106" s="1"/>
  <c r="D109" i="106"/>
  <c r="G109" i="106" s="1"/>
  <c r="D8" i="106"/>
  <c r="G8" i="106" s="1"/>
  <c r="D31" i="106"/>
  <c r="G31" i="106" s="1"/>
  <c r="D23" i="106"/>
  <c r="G23" i="106" s="1"/>
  <c r="D67" i="106"/>
  <c r="G67" i="106" s="1"/>
  <c r="D16" i="106"/>
  <c r="G16" i="106" s="1"/>
  <c r="D7" i="106"/>
  <c r="G7" i="106" s="1"/>
  <c r="D19" i="106"/>
  <c r="G19" i="106" s="1"/>
  <c r="D28" i="106"/>
  <c r="G28" i="106" s="1"/>
  <c r="D53" i="106"/>
  <c r="G53" i="106" s="1"/>
  <c r="K52" i="11"/>
  <c r="H81" i="106"/>
  <c r="H93" i="106" s="1"/>
  <c r="H105" i="106" s="1"/>
  <c r="H117" i="106" s="1"/>
  <c r="H129" i="106" s="1"/>
  <c r="H141" i="106" s="1"/>
  <c r="I120" i="106"/>
  <c r="I132" i="106" s="1"/>
  <c r="I144" i="106" s="1"/>
  <c r="M138" i="106"/>
  <c r="G15" i="106"/>
  <c r="B160" i="106"/>
  <c r="B156" i="106"/>
  <c r="D119" i="106"/>
  <c r="G119" i="106" s="1"/>
  <c r="D111" i="106"/>
  <c r="D103" i="106"/>
  <c r="G103" i="106" s="1"/>
  <c r="D95" i="106"/>
  <c r="G95" i="106" s="1"/>
  <c r="D87" i="106"/>
  <c r="D79" i="106"/>
  <c r="G79" i="106" s="1"/>
  <c r="B158" i="106"/>
  <c r="B157" i="106"/>
  <c r="D114" i="106"/>
  <c r="G114" i="106" s="1"/>
  <c r="D66" i="106"/>
  <c r="G66" i="106" s="1"/>
  <c r="D58" i="106"/>
  <c r="G58" i="106" s="1"/>
  <c r="D50" i="106"/>
  <c r="G50" i="106" s="1"/>
  <c r="D43" i="106"/>
  <c r="G43" i="106" s="1"/>
  <c r="B159" i="106"/>
  <c r="D122" i="106"/>
  <c r="G122" i="106" s="1"/>
  <c r="D118" i="106"/>
  <c r="G118" i="106" s="1"/>
  <c r="D78" i="106"/>
  <c r="G78" i="106" s="1"/>
  <c r="D77" i="106"/>
  <c r="G77" i="106" s="1"/>
  <c r="D76" i="106"/>
  <c r="G76" i="106" s="1"/>
  <c r="D75" i="106"/>
  <c r="D74" i="106"/>
  <c r="G74" i="106" s="1"/>
  <c r="D73" i="106"/>
  <c r="G73" i="106" s="1"/>
  <c r="D65" i="106"/>
  <c r="G65" i="106" s="1"/>
  <c r="D113" i="106"/>
  <c r="G113" i="106" s="1"/>
  <c r="D98" i="106"/>
  <c r="G98" i="106" s="1"/>
  <c r="D93" i="106"/>
  <c r="G93" i="106" s="1"/>
  <c r="D71" i="106"/>
  <c r="G71" i="106" s="1"/>
  <c r="D49" i="106"/>
  <c r="G49" i="106" s="1"/>
  <c r="D48" i="106"/>
  <c r="G48" i="106" s="1"/>
  <c r="D47" i="106"/>
  <c r="G47" i="106" s="1"/>
  <c r="D46" i="106"/>
  <c r="G46" i="106" s="1"/>
  <c r="D45" i="106"/>
  <c r="G45" i="106" s="1"/>
  <c r="D37" i="106"/>
  <c r="G37" i="106" s="1"/>
  <c r="D29" i="106"/>
  <c r="G29" i="106" s="1"/>
  <c r="D21" i="106"/>
  <c r="G21" i="106" s="1"/>
  <c r="D13" i="106"/>
  <c r="G13" i="106" s="1"/>
  <c r="B153" i="106"/>
  <c r="D106" i="106"/>
  <c r="G106" i="106" s="1"/>
  <c r="D101" i="106"/>
  <c r="G101" i="106" s="1"/>
  <c r="D84" i="106"/>
  <c r="G84" i="106" s="1"/>
  <c r="D80" i="106"/>
  <c r="G80" i="106" s="1"/>
  <c r="D72" i="106"/>
  <c r="G72" i="106" s="1"/>
  <c r="D121" i="106"/>
  <c r="G121" i="106" s="1"/>
  <c r="D120" i="106"/>
  <c r="G120" i="106" s="1"/>
  <c r="D104" i="106"/>
  <c r="G104" i="106" s="1"/>
  <c r="D99" i="106"/>
  <c r="D94" i="106"/>
  <c r="G94" i="106" s="1"/>
  <c r="D85" i="106"/>
  <c r="G85" i="106" s="1"/>
  <c r="D81" i="106"/>
  <c r="G81" i="106" s="1"/>
  <c r="D60" i="106"/>
  <c r="G60" i="106" s="1"/>
  <c r="D41" i="106"/>
  <c r="G41" i="106" s="1"/>
  <c r="D34" i="106"/>
  <c r="G34" i="106" s="1"/>
  <c r="D9" i="106"/>
  <c r="G9" i="106" s="1"/>
  <c r="D10" i="106"/>
  <c r="G10" i="106" s="1"/>
  <c r="D11" i="106"/>
  <c r="G11" i="106" s="1"/>
  <c r="D12" i="106"/>
  <c r="G12" i="106" s="1"/>
  <c r="D44" i="106"/>
  <c r="G44" i="106" s="1"/>
  <c r="D52" i="106"/>
  <c r="G52" i="106" s="1"/>
  <c r="D56" i="106"/>
  <c r="G56" i="106" s="1"/>
  <c r="D68" i="106"/>
  <c r="G68" i="106" s="1"/>
  <c r="D70" i="106"/>
  <c r="G70" i="106" s="1"/>
  <c r="D107" i="106"/>
  <c r="G107" i="106" s="1"/>
  <c r="D112" i="106"/>
  <c r="G112" i="106" s="1"/>
  <c r="B155" i="106"/>
  <c r="D38" i="106"/>
  <c r="G38" i="106" s="1"/>
  <c r="D62" i="106"/>
  <c r="G62" i="106" s="1"/>
  <c r="D82" i="106"/>
  <c r="G82" i="106" s="1"/>
  <c r="D91" i="106"/>
  <c r="G91" i="106" s="1"/>
  <c r="B3" i="106"/>
  <c r="D59" i="106"/>
  <c r="G59" i="106" s="1"/>
  <c r="D89" i="106"/>
  <c r="G89" i="106" s="1"/>
  <c r="D105" i="106"/>
  <c r="G105" i="106" s="1"/>
  <c r="D36" i="106"/>
  <c r="G36" i="106" s="1"/>
  <c r="D51" i="106"/>
  <c r="D55" i="106"/>
  <c r="G55" i="106" s="1"/>
  <c r="D83" i="106"/>
  <c r="G83" i="106" s="1"/>
  <c r="D92" i="106"/>
  <c r="G92" i="106" s="1"/>
  <c r="D100" i="106"/>
  <c r="G100" i="106" s="1"/>
  <c r="D108" i="106"/>
  <c r="G108" i="106" s="1"/>
  <c r="D117" i="106"/>
  <c r="G117" i="106" s="1"/>
  <c r="M144" i="106"/>
  <c r="F165" i="106"/>
  <c r="D64" i="106"/>
  <c r="G64" i="106" s="1"/>
  <c r="D97" i="106"/>
  <c r="G97" i="106" s="1"/>
  <c r="D102" i="106"/>
  <c r="G102" i="106" s="1"/>
  <c r="D110" i="106"/>
  <c r="G110" i="106" s="1"/>
  <c r="D115" i="106"/>
  <c r="G115" i="106" s="1"/>
  <c r="E165" i="106"/>
  <c r="B161" i="106"/>
  <c r="D4" i="106"/>
  <c r="G4" i="106" s="1"/>
  <c r="D35" i="106"/>
  <c r="G35" i="106" s="1"/>
  <c r="D61" i="106"/>
  <c r="G61" i="106" s="1"/>
  <c r="D63" i="106"/>
  <c r="D90" i="106"/>
  <c r="G90" i="106" s="1"/>
  <c r="B154" i="106"/>
  <c r="H124" i="72"/>
  <c r="I124" i="72"/>
  <c r="H125" i="72"/>
  <c r="I125" i="72"/>
  <c r="H126" i="72"/>
  <c r="I126" i="72"/>
  <c r="H127" i="72"/>
  <c r="I127" i="72"/>
  <c r="H128" i="72"/>
  <c r="I128" i="72"/>
  <c r="H129" i="72"/>
  <c r="I129" i="72"/>
  <c r="H130" i="72"/>
  <c r="I130" i="72"/>
  <c r="H131" i="72"/>
  <c r="I131" i="72"/>
  <c r="H132" i="72"/>
  <c r="I132" i="72"/>
  <c r="H133" i="72"/>
  <c r="I133" i="72"/>
  <c r="I134" i="72"/>
  <c r="K20" i="76"/>
  <c r="L37" i="76"/>
  <c r="L18" i="76"/>
  <c r="L36" i="76"/>
  <c r="L35" i="76"/>
  <c r="L16" i="76"/>
  <c r="L34" i="76"/>
  <c r="L15" i="76"/>
  <c r="B3" i="72" a="1"/>
  <c r="D117" i="72" s="1"/>
  <c r="K42" i="11"/>
  <c r="K37" i="11"/>
  <c r="K32" i="11"/>
  <c r="K28" i="11"/>
  <c r="K23" i="11"/>
  <c r="K19" i="11"/>
  <c r="K15" i="11"/>
  <c r="R108" i="73" l="1" a="1"/>
  <c r="R108" i="73" s="1"/>
  <c r="K82" i="114"/>
  <c r="K83" i="114" s="1"/>
  <c r="K84" i="114" s="1"/>
  <c r="K85" i="114" s="1"/>
  <c r="K86" i="114" s="1"/>
  <c r="K87" i="114" s="1"/>
  <c r="K88" i="114" s="1"/>
  <c r="K89" i="114" s="1"/>
  <c r="K90" i="114" s="1"/>
  <c r="K91" i="114" s="1"/>
  <c r="K92" i="114" s="1"/>
  <c r="L81" i="114" s="1"/>
  <c r="H21" i="9"/>
  <c r="H22" i="9" s="1"/>
  <c r="F5" i="114"/>
  <c r="F6" i="114" s="1"/>
  <c r="F7" i="114" s="1"/>
  <c r="F8" i="114" s="1"/>
  <c r="F9" i="114" s="1"/>
  <c r="F10" i="114" s="1"/>
  <c r="F11" i="114" s="1"/>
  <c r="F12" i="114" s="1"/>
  <c r="F13" i="114" s="1"/>
  <c r="F14" i="114" s="1"/>
  <c r="F15" i="114" s="1"/>
  <c r="H54" i="114"/>
  <c r="H56" i="114" s="1"/>
  <c r="H35" i="114"/>
  <c r="H37" i="114" s="1"/>
  <c r="H93" i="114"/>
  <c r="G113" i="114"/>
  <c r="G115" i="114" s="1"/>
  <c r="H73" i="114"/>
  <c r="H75" i="114" s="1"/>
  <c r="P14" i="17"/>
  <c r="P15" i="17" s="1"/>
  <c r="G154" i="106"/>
  <c r="D153" i="106"/>
  <c r="G153" i="106"/>
  <c r="D121" i="72"/>
  <c r="D113" i="72"/>
  <c r="D120" i="72"/>
  <c r="D112" i="72"/>
  <c r="D119" i="72"/>
  <c r="D111" i="72"/>
  <c r="D118" i="72"/>
  <c r="B3" i="72"/>
  <c r="B152" i="72" s="1"/>
  <c r="B161" i="72"/>
  <c r="K4" i="11" s="1"/>
  <c r="B153" i="72"/>
  <c r="B159" i="72"/>
  <c r="B160" i="72"/>
  <c r="B158" i="72"/>
  <c r="B154" i="72"/>
  <c r="B157" i="72"/>
  <c r="B156" i="72"/>
  <c r="B155" i="72"/>
  <c r="D115" i="72"/>
  <c r="D122" i="72"/>
  <c r="D114" i="72"/>
  <c r="D116" i="72"/>
  <c r="K48" i="11"/>
  <c r="D160" i="106"/>
  <c r="G99" i="106"/>
  <c r="G160" i="106" s="1"/>
  <c r="D159" i="106"/>
  <c r="G87" i="106"/>
  <c r="G159" i="106" s="1"/>
  <c r="D158" i="106"/>
  <c r="G75" i="106"/>
  <c r="G155" i="106"/>
  <c r="B152" i="106"/>
  <c r="B165" i="106" s="1"/>
  <c r="D3" i="106"/>
  <c r="D156" i="106"/>
  <c r="G51" i="106"/>
  <c r="G156" i="106" s="1"/>
  <c r="D157" i="106"/>
  <c r="G63" i="106"/>
  <c r="G157" i="106" s="1"/>
  <c r="G111" i="106"/>
  <c r="G161" i="106" s="1"/>
  <c r="D161" i="106"/>
  <c r="D154" i="106"/>
  <c r="D155" i="106"/>
  <c r="R120" i="73" l="1" a="1"/>
  <c r="R120" i="73" s="1"/>
  <c r="L82" i="114"/>
  <c r="L83" i="114" s="1"/>
  <c r="L84" i="114" s="1"/>
  <c r="L85" i="114" s="1"/>
  <c r="L86" i="114" s="1"/>
  <c r="L87" i="114" s="1"/>
  <c r="L88" i="114" s="1"/>
  <c r="L89" i="114" s="1"/>
  <c r="L90" i="114" s="1"/>
  <c r="L91" i="114" s="1"/>
  <c r="L92" i="114" s="1"/>
  <c r="F16" i="114"/>
  <c r="F18" i="114" s="1"/>
  <c r="G4" i="114"/>
  <c r="H113" i="114"/>
  <c r="H115" i="114" s="1"/>
  <c r="I93" i="114"/>
  <c r="I73" i="114"/>
  <c r="I75" i="114" s="1"/>
  <c r="I54" i="114"/>
  <c r="I56" i="114" s="1"/>
  <c r="I35" i="114"/>
  <c r="I37" i="114" s="1"/>
  <c r="B165" i="72"/>
  <c r="D161" i="72"/>
  <c r="B12" i="9" s="1"/>
  <c r="F12" i="9" s="1"/>
  <c r="G158" i="106"/>
  <c r="D152" i="106"/>
  <c r="D165" i="106" s="1"/>
  <c r="G3" i="106"/>
  <c r="R132" i="73" l="1" a="1"/>
  <c r="R132" i="73" s="1"/>
  <c r="G5" i="114"/>
  <c r="G6" i="114" s="1"/>
  <c r="G7" i="114" s="1"/>
  <c r="G8" i="114" s="1"/>
  <c r="G9" i="114" s="1"/>
  <c r="G10" i="114" s="1"/>
  <c r="G11" i="114" s="1"/>
  <c r="G12" i="114" s="1"/>
  <c r="G13" i="114" s="1"/>
  <c r="G14" i="114" s="1"/>
  <c r="G15" i="114" s="1"/>
  <c r="J93" i="114"/>
  <c r="J54" i="114"/>
  <c r="J56" i="114" s="1"/>
  <c r="I113" i="114"/>
  <c r="I115" i="114" s="1"/>
  <c r="J73" i="114"/>
  <c r="J75" i="114" s="1"/>
  <c r="J35" i="114"/>
  <c r="J37" i="114" s="1"/>
  <c r="G152" i="106"/>
  <c r="G165" i="106" s="1"/>
  <c r="L18" i="91"/>
  <c r="F18" i="91"/>
  <c r="F131" i="73"/>
  <c r="H11" i="9" s="1"/>
  <c r="AI3" i="91"/>
  <c r="AG3" i="91"/>
  <c r="AC3" i="91"/>
  <c r="AA3" i="91"/>
  <c r="W3" i="91"/>
  <c r="U3" i="91"/>
  <c r="Q3" i="91"/>
  <c r="M3" i="91"/>
  <c r="K3" i="91"/>
  <c r="G3" i="91"/>
  <c r="C3" i="91"/>
  <c r="C4" i="91"/>
  <c r="AI12" i="91"/>
  <c r="AI11" i="91"/>
  <c r="AI10" i="91"/>
  <c r="AI9" i="91"/>
  <c r="AI8" i="91"/>
  <c r="AI7" i="91"/>
  <c r="AI6" i="91"/>
  <c r="AI5" i="91"/>
  <c r="AI4" i="91"/>
  <c r="R18" i="91" s="1"/>
  <c r="AG12" i="91"/>
  <c r="AG11" i="91"/>
  <c r="AG10" i="91"/>
  <c r="AG9" i="91"/>
  <c r="AG8" i="91"/>
  <c r="AG7" i="91"/>
  <c r="AG6" i="91"/>
  <c r="AG5" i="91"/>
  <c r="AG4" i="91"/>
  <c r="Q18" i="91" s="1"/>
  <c r="AC12" i="91"/>
  <c r="AC11" i="91"/>
  <c r="AC10" i="91"/>
  <c r="AC9" i="91"/>
  <c r="AC8" i="91"/>
  <c r="AC7" i="91"/>
  <c r="AC6" i="91"/>
  <c r="AC5" i="91"/>
  <c r="AC4" i="91"/>
  <c r="AA12" i="91"/>
  <c r="AA11" i="91"/>
  <c r="AA10" i="91"/>
  <c r="AA9" i="91"/>
  <c r="AA8" i="91"/>
  <c r="AA7" i="91"/>
  <c r="AA6" i="91"/>
  <c r="AA5" i="91"/>
  <c r="AA4" i="91"/>
  <c r="W12" i="91"/>
  <c r="W11" i="91"/>
  <c r="W10" i="91"/>
  <c r="W9" i="91"/>
  <c r="W8" i="91"/>
  <c r="W7" i="91"/>
  <c r="W6" i="91"/>
  <c r="W5" i="91"/>
  <c r="W4" i="91"/>
  <c r="M12" i="91"/>
  <c r="M11" i="91"/>
  <c r="M10" i="91"/>
  <c r="M9" i="91"/>
  <c r="M8" i="91"/>
  <c r="M7" i="91"/>
  <c r="M6" i="91"/>
  <c r="M5" i="91"/>
  <c r="M4" i="91"/>
  <c r="G18" i="91" s="1"/>
  <c r="U12" i="91"/>
  <c r="U11" i="91"/>
  <c r="U10" i="91"/>
  <c r="U9" i="91"/>
  <c r="U8" i="91"/>
  <c r="U7" i="91"/>
  <c r="U6" i="91"/>
  <c r="U5" i="91"/>
  <c r="U4" i="91"/>
  <c r="K18" i="91" s="1"/>
  <c r="Q12" i="91"/>
  <c r="Q11" i="91"/>
  <c r="Q10" i="91"/>
  <c r="Q9" i="91"/>
  <c r="Q8" i="91"/>
  <c r="Q7" i="91"/>
  <c r="Q6" i="91"/>
  <c r="Q5" i="91"/>
  <c r="Q4" i="91"/>
  <c r="K12" i="91"/>
  <c r="K11" i="91"/>
  <c r="K10" i="91"/>
  <c r="K9" i="91"/>
  <c r="K8" i="91"/>
  <c r="K7" i="91"/>
  <c r="K6" i="91"/>
  <c r="K5" i="91"/>
  <c r="K4" i="91"/>
  <c r="G12" i="91"/>
  <c r="G11" i="91"/>
  <c r="G10" i="91"/>
  <c r="G9" i="91"/>
  <c r="G8" i="91"/>
  <c r="G7" i="91"/>
  <c r="G6" i="91"/>
  <c r="G5" i="91"/>
  <c r="G4" i="91"/>
  <c r="E4" i="91"/>
  <c r="C12" i="91"/>
  <c r="C14" i="91" s="1"/>
  <c r="C11" i="91"/>
  <c r="C10" i="91"/>
  <c r="C9" i="91"/>
  <c r="C7" i="91"/>
  <c r="C6" i="91"/>
  <c r="C5" i="91"/>
  <c r="E12" i="91"/>
  <c r="G16" i="114" l="1"/>
  <c r="G18" i="114" s="1"/>
  <c r="H4" i="114"/>
  <c r="K93" i="114"/>
  <c r="K54" i="114"/>
  <c r="K56" i="114" s="1"/>
  <c r="J113" i="114"/>
  <c r="J115" i="114" s="1"/>
  <c r="K73" i="114"/>
  <c r="K75" i="114" s="1"/>
  <c r="K35" i="114"/>
  <c r="K37" i="114" s="1"/>
  <c r="N113" i="72"/>
  <c r="N125" i="72" s="1"/>
  <c r="N137" i="72" s="1"/>
  <c r="N117" i="72"/>
  <c r="N129" i="72" s="1"/>
  <c r="N141" i="72" s="1"/>
  <c r="N118" i="72"/>
  <c r="N130" i="72" s="1"/>
  <c r="N142" i="72" s="1"/>
  <c r="N119" i="72"/>
  <c r="N131" i="72" s="1"/>
  <c r="N143" i="72" s="1"/>
  <c r="N120" i="72"/>
  <c r="N132" i="72" s="1"/>
  <c r="N144" i="72" s="1"/>
  <c r="N121" i="72"/>
  <c r="N133" i="72" s="1"/>
  <c r="N145" i="72" s="1"/>
  <c r="H5" i="114" l="1"/>
  <c r="H6" i="114" s="1"/>
  <c r="H7" i="114" s="1"/>
  <c r="H8" i="114" s="1"/>
  <c r="H9" i="114" s="1"/>
  <c r="H10" i="114" s="1"/>
  <c r="H11" i="114" s="1"/>
  <c r="H12" i="114" s="1"/>
  <c r="H13" i="114" s="1"/>
  <c r="H14" i="114" s="1"/>
  <c r="H15" i="114" s="1"/>
  <c r="K113" i="114"/>
  <c r="K115" i="114" s="1"/>
  <c r="L93" i="114"/>
  <c r="L73" i="114"/>
  <c r="L75" i="114" s="1"/>
  <c r="L54" i="114"/>
  <c r="L56" i="114" s="1"/>
  <c r="L35" i="114"/>
  <c r="L37" i="114" s="1"/>
  <c r="M112" i="72"/>
  <c r="M124" i="72" s="1"/>
  <c r="M113" i="72"/>
  <c r="M125" i="72" s="1"/>
  <c r="M114" i="72"/>
  <c r="M126" i="72" s="1"/>
  <c r="M115" i="72"/>
  <c r="M127" i="72" s="1"/>
  <c r="M116" i="72"/>
  <c r="M128" i="72" s="1"/>
  <c r="M117" i="72"/>
  <c r="M129" i="72" s="1"/>
  <c r="M118" i="72"/>
  <c r="M130" i="72" s="1"/>
  <c r="M119" i="72"/>
  <c r="M131" i="72" s="1"/>
  <c r="M120" i="72"/>
  <c r="M132" i="72" s="1"/>
  <c r="M121" i="72"/>
  <c r="M133" i="72" s="1"/>
  <c r="M122" i="72"/>
  <c r="M134" i="72" s="1"/>
  <c r="M111" i="72"/>
  <c r="M123" i="72" s="1"/>
  <c r="I4" i="114" l="1"/>
  <c r="H16" i="114"/>
  <c r="H18" i="114" s="1"/>
  <c r="L113" i="114"/>
  <c r="L115" i="114" s="1"/>
  <c r="M135" i="72"/>
  <c r="M146" i="72"/>
  <c r="M142" i="72"/>
  <c r="M139" i="72"/>
  <c r="M141" i="72"/>
  <c r="M140" i="72"/>
  <c r="M138" i="72"/>
  <c r="M145" i="72"/>
  <c r="M137" i="72"/>
  <c r="M144" i="72"/>
  <c r="M136" i="72"/>
  <c r="M143" i="72"/>
  <c r="C60" i="73"/>
  <c r="C61" i="73"/>
  <c r="C62" i="73"/>
  <c r="C63" i="73"/>
  <c r="C64" i="73"/>
  <c r="C65" i="73"/>
  <c r="C66" i="73"/>
  <c r="C67" i="73"/>
  <c r="C68" i="73"/>
  <c r="C69" i="73"/>
  <c r="C70" i="73"/>
  <c r="C71" i="73"/>
  <c r="C72" i="73"/>
  <c r="C73" i="73"/>
  <c r="C74" i="73"/>
  <c r="C75" i="73"/>
  <c r="C76" i="73"/>
  <c r="C77" i="73"/>
  <c r="C78" i="73"/>
  <c r="C79" i="73"/>
  <c r="C80" i="73"/>
  <c r="C81" i="73"/>
  <c r="C82" i="73"/>
  <c r="C83" i="73"/>
  <c r="C84" i="73"/>
  <c r="C85" i="73"/>
  <c r="C86" i="73"/>
  <c r="C87" i="73"/>
  <c r="C88" i="73"/>
  <c r="C89" i="73"/>
  <c r="C90" i="73"/>
  <c r="C91" i="73"/>
  <c r="C92" i="73"/>
  <c r="C93" i="73"/>
  <c r="C94" i="73"/>
  <c r="C95" i="73"/>
  <c r="C96" i="73"/>
  <c r="C97" i="73"/>
  <c r="C98" i="73"/>
  <c r="C99" i="73"/>
  <c r="C100" i="73"/>
  <c r="C101" i="73"/>
  <c r="C102" i="73"/>
  <c r="C103" i="73"/>
  <c r="C104" i="73"/>
  <c r="C105" i="73"/>
  <c r="C106" i="73"/>
  <c r="C107" i="73"/>
  <c r="C108" i="73"/>
  <c r="C109" i="73"/>
  <c r="C110" i="73"/>
  <c r="C111" i="73"/>
  <c r="C112" i="73"/>
  <c r="C113" i="73"/>
  <c r="C114" i="73"/>
  <c r="C115" i="73"/>
  <c r="C116" i="73"/>
  <c r="C117" i="73"/>
  <c r="C118" i="73"/>
  <c r="C119" i="73"/>
  <c r="C120" i="73"/>
  <c r="C121" i="73"/>
  <c r="C122" i="73"/>
  <c r="C123" i="73"/>
  <c r="C124" i="73"/>
  <c r="C125" i="73"/>
  <c r="C126" i="73"/>
  <c r="C127" i="73"/>
  <c r="C128" i="73"/>
  <c r="C129" i="73"/>
  <c r="C130" i="73"/>
  <c r="C131" i="73"/>
  <c r="C132" i="73"/>
  <c r="C133" i="73"/>
  <c r="C134" i="73"/>
  <c r="C135" i="73"/>
  <c r="C136" i="73"/>
  <c r="C137" i="73"/>
  <c r="C138" i="73"/>
  <c r="C139" i="73"/>
  <c r="C140" i="73"/>
  <c r="C141" i="73"/>
  <c r="C142" i="73"/>
  <c r="I5" i="114" l="1"/>
  <c r="I6" i="114" s="1"/>
  <c r="I7" i="114" s="1"/>
  <c r="I8" i="114" s="1"/>
  <c r="I9" i="114" s="1"/>
  <c r="I10" i="114" s="1"/>
  <c r="I11" i="114" s="1"/>
  <c r="I12" i="114" s="1"/>
  <c r="I13" i="114" s="1"/>
  <c r="I14" i="114" s="1"/>
  <c r="I15" i="114" s="1"/>
  <c r="C39" i="73"/>
  <c r="C47" i="73"/>
  <c r="L11" i="9"/>
  <c r="M11" i="9"/>
  <c r="N11" i="9"/>
  <c r="K10" i="9"/>
  <c r="K9" i="9"/>
  <c r="M95" i="73"/>
  <c r="K8" i="9" s="1"/>
  <c r="M83" i="73"/>
  <c r="K7" i="9" s="1"/>
  <c r="M71" i="73"/>
  <c r="K6" i="9" s="1"/>
  <c r="M59" i="73"/>
  <c r="K5" i="9" s="1"/>
  <c r="M47" i="73"/>
  <c r="K4" i="9" s="1"/>
  <c r="M35" i="73"/>
  <c r="H131" i="73"/>
  <c r="I11" i="9" s="1"/>
  <c r="J131" i="73"/>
  <c r="J11" i="9" s="1"/>
  <c r="K131" i="73"/>
  <c r="H119" i="73"/>
  <c r="I10" i="9" s="1"/>
  <c r="J119" i="73"/>
  <c r="J10" i="9" s="1"/>
  <c r="K119" i="73"/>
  <c r="P119" i="73"/>
  <c r="L10" i="9" s="1"/>
  <c r="Q119" i="73"/>
  <c r="S119" i="73"/>
  <c r="M10" i="9" s="1"/>
  <c r="T119" i="73"/>
  <c r="V119" i="73"/>
  <c r="N10" i="9" s="1"/>
  <c r="W119" i="73"/>
  <c r="F119" i="73"/>
  <c r="H10" i="9" s="1"/>
  <c r="H107" i="73"/>
  <c r="I9" i="9" s="1"/>
  <c r="J107" i="73"/>
  <c r="J9" i="9" s="1"/>
  <c r="K107" i="73"/>
  <c r="P107" i="73"/>
  <c r="L9" i="9" s="1"/>
  <c r="Q107" i="73"/>
  <c r="S107" i="73"/>
  <c r="M9" i="9" s="1"/>
  <c r="T107" i="73"/>
  <c r="V107" i="73"/>
  <c r="N9" i="9" s="1"/>
  <c r="W107" i="73"/>
  <c r="F107" i="73"/>
  <c r="H9" i="9" s="1"/>
  <c r="H95" i="73"/>
  <c r="I8" i="9" s="1"/>
  <c r="J95" i="73"/>
  <c r="J8" i="9" s="1"/>
  <c r="K95" i="73"/>
  <c r="P95" i="73"/>
  <c r="L8" i="9" s="1"/>
  <c r="Q95" i="73"/>
  <c r="S95" i="73"/>
  <c r="M8" i="9" s="1"/>
  <c r="T95" i="73"/>
  <c r="V95" i="73"/>
  <c r="N8" i="9" s="1"/>
  <c r="W95" i="73"/>
  <c r="F95" i="73"/>
  <c r="H8" i="9" s="1"/>
  <c r="H83" i="73"/>
  <c r="I7" i="9" s="1"/>
  <c r="J83" i="73"/>
  <c r="J7" i="9" s="1"/>
  <c r="K83" i="73"/>
  <c r="P83" i="73"/>
  <c r="L7" i="9" s="1"/>
  <c r="Q83" i="73"/>
  <c r="S83" i="73"/>
  <c r="M7" i="9" s="1"/>
  <c r="T83" i="73"/>
  <c r="V83" i="73"/>
  <c r="N7" i="9" s="1"/>
  <c r="W83" i="73"/>
  <c r="F83" i="73"/>
  <c r="H7" i="9" s="1"/>
  <c r="H71" i="73"/>
  <c r="I6" i="9" s="1"/>
  <c r="J71" i="73"/>
  <c r="J6" i="9" s="1"/>
  <c r="K71" i="73"/>
  <c r="P71" i="73"/>
  <c r="L6" i="9" s="1"/>
  <c r="Q71" i="73"/>
  <c r="S71" i="73"/>
  <c r="M6" i="9" s="1"/>
  <c r="T71" i="73"/>
  <c r="V71" i="73"/>
  <c r="N6" i="9" s="1"/>
  <c r="W71" i="73"/>
  <c r="F71" i="73"/>
  <c r="H6" i="9" s="1"/>
  <c r="H59" i="73"/>
  <c r="I5" i="9" s="1"/>
  <c r="J59" i="73"/>
  <c r="J5" i="9" s="1"/>
  <c r="K59" i="73"/>
  <c r="P59" i="73"/>
  <c r="L5" i="9" s="1"/>
  <c r="Q59" i="73"/>
  <c r="S59" i="73"/>
  <c r="M5" i="9" s="1"/>
  <c r="T59" i="73"/>
  <c r="V59" i="73"/>
  <c r="N5" i="9" s="1"/>
  <c r="W59" i="73"/>
  <c r="F59" i="73"/>
  <c r="H5" i="9" s="1"/>
  <c r="H47" i="73"/>
  <c r="I4" i="9" s="1"/>
  <c r="J47" i="73"/>
  <c r="J4" i="9" s="1"/>
  <c r="K47" i="73"/>
  <c r="P47" i="73"/>
  <c r="L4" i="9" s="1"/>
  <c r="Q47" i="73"/>
  <c r="S47" i="73"/>
  <c r="M4" i="9" s="1"/>
  <c r="T47" i="73"/>
  <c r="V47" i="73"/>
  <c r="N4" i="9" s="1"/>
  <c r="W47" i="73"/>
  <c r="H35" i="73"/>
  <c r="J35" i="73"/>
  <c r="K35" i="73"/>
  <c r="P35" i="73"/>
  <c r="Q35" i="73"/>
  <c r="S35" i="73"/>
  <c r="T35" i="73"/>
  <c r="V35" i="73"/>
  <c r="W35" i="73"/>
  <c r="X35" i="73"/>
  <c r="F47" i="73"/>
  <c r="H4" i="9" s="1"/>
  <c r="F35" i="73"/>
  <c r="H3" i="9" s="1"/>
  <c r="AE4" i="91"/>
  <c r="AE5" i="91"/>
  <c r="AE6" i="91"/>
  <c r="AE7" i="91"/>
  <c r="AE8" i="91"/>
  <c r="AE9" i="91"/>
  <c r="AE10" i="91"/>
  <c r="AE11" i="91"/>
  <c r="AE12" i="91"/>
  <c r="Y4" i="91"/>
  <c r="Y5" i="91"/>
  <c r="Y6" i="91"/>
  <c r="Y7" i="91"/>
  <c r="Y8" i="91"/>
  <c r="Y9" i="91"/>
  <c r="Y10" i="91"/>
  <c r="M24" i="91" s="1"/>
  <c r="Y11" i="91"/>
  <c r="Y12" i="91"/>
  <c r="S5" i="91"/>
  <c r="S6" i="91"/>
  <c r="S7" i="91"/>
  <c r="S8" i="91"/>
  <c r="S9" i="91"/>
  <c r="S10" i="91"/>
  <c r="S11" i="91"/>
  <c r="S12" i="91"/>
  <c r="S4" i="91"/>
  <c r="O5" i="91"/>
  <c r="O6" i="91"/>
  <c r="O7" i="91"/>
  <c r="O8" i="91"/>
  <c r="O9" i="91"/>
  <c r="O10" i="91"/>
  <c r="O11" i="91"/>
  <c r="O12" i="91"/>
  <c r="O4" i="91"/>
  <c r="I5" i="91"/>
  <c r="I6" i="91"/>
  <c r="I7" i="91"/>
  <c r="I8" i="91"/>
  <c r="I9" i="91"/>
  <c r="I10" i="91"/>
  <c r="I11" i="91"/>
  <c r="I12" i="91"/>
  <c r="I4" i="91"/>
  <c r="E5" i="91"/>
  <c r="E6" i="91"/>
  <c r="E7" i="91"/>
  <c r="E8" i="91"/>
  <c r="E9" i="91"/>
  <c r="E10" i="91"/>
  <c r="E11" i="91"/>
  <c r="C94" i="114" l="1" a="1"/>
  <c r="J4" i="114"/>
  <c r="I16" i="114"/>
  <c r="I18" i="114" s="1"/>
  <c r="C30" i="73"/>
  <c r="C55" i="73"/>
  <c r="C27" i="73"/>
  <c r="C28" i="73"/>
  <c r="C35" i="73"/>
  <c r="C46" i="73"/>
  <c r="C38" i="73"/>
  <c r="C54" i="73"/>
  <c r="C45" i="73"/>
  <c r="C37" i="73"/>
  <c r="C34" i="73"/>
  <c r="C26" i="73"/>
  <c r="C33" i="73"/>
  <c r="C25" i="73"/>
  <c r="C58" i="73"/>
  <c r="C42" i="73"/>
  <c r="C50" i="73"/>
  <c r="C40" i="73"/>
  <c r="C56" i="73"/>
  <c r="C48" i="73"/>
  <c r="C53" i="73"/>
  <c r="G7" i="9"/>
  <c r="G8" i="9"/>
  <c r="G11" i="9"/>
  <c r="C44" i="73"/>
  <c r="C36" i="73"/>
  <c r="C52" i="73"/>
  <c r="C32" i="73"/>
  <c r="C24" i="73"/>
  <c r="G9" i="9"/>
  <c r="G5" i="9"/>
  <c r="C43" i="73"/>
  <c r="C59" i="73"/>
  <c r="C51" i="73"/>
  <c r="C31" i="73"/>
  <c r="G4" i="9"/>
  <c r="G6" i="9"/>
  <c r="G10" i="9"/>
  <c r="C41" i="73"/>
  <c r="C57" i="73"/>
  <c r="C49" i="73"/>
  <c r="C29" i="73"/>
  <c r="C94" i="114" l="1"/>
  <c r="C95" i="114" s="1"/>
  <c r="D95" i="114"/>
  <c r="E95" i="114"/>
  <c r="F95" i="114"/>
  <c r="G95" i="114"/>
  <c r="H95" i="114"/>
  <c r="I95" i="114"/>
  <c r="J95" i="114"/>
  <c r="K95" i="114"/>
  <c r="L95" i="114"/>
  <c r="J5" i="114"/>
  <c r="J6" i="114" s="1"/>
  <c r="J7" i="114" s="1"/>
  <c r="J8" i="114" s="1"/>
  <c r="J9" i="114" s="1"/>
  <c r="J10" i="114" s="1"/>
  <c r="J11" i="114" s="1"/>
  <c r="J12" i="114" s="1"/>
  <c r="J13" i="114" s="1"/>
  <c r="J14" i="114" s="1"/>
  <c r="J15" i="114" s="1"/>
  <c r="L3" i="106" a="1"/>
  <c r="L3" i="72" a="1"/>
  <c r="P15" i="72" s="1"/>
  <c r="H36" i="9"/>
  <c r="I36" i="9" s="1"/>
  <c r="K4" i="114" l="1"/>
  <c r="J16" i="114"/>
  <c r="J18" i="114" s="1"/>
  <c r="P34" i="72"/>
  <c r="P98" i="72"/>
  <c r="P36" i="72"/>
  <c r="P101" i="72"/>
  <c r="P121" i="72"/>
  <c r="P67" i="72"/>
  <c r="P92" i="72"/>
  <c r="P72" i="72"/>
  <c r="P61" i="72"/>
  <c r="P73" i="72"/>
  <c r="P54" i="72"/>
  <c r="P118" i="72"/>
  <c r="P63" i="72"/>
  <c r="P8" i="72"/>
  <c r="P41" i="72"/>
  <c r="P77" i="72"/>
  <c r="P16" i="72"/>
  <c r="P26" i="72"/>
  <c r="P110" i="72"/>
  <c r="P42" i="72"/>
  <c r="P106" i="72"/>
  <c r="P44" i="72"/>
  <c r="P24" i="72"/>
  <c r="P11" i="72"/>
  <c r="P75" i="72"/>
  <c r="P116" i="72"/>
  <c r="P9" i="72"/>
  <c r="P113" i="72"/>
  <c r="P62" i="72"/>
  <c r="P7" i="72"/>
  <c r="P71" i="72"/>
  <c r="P65" i="72"/>
  <c r="P45" i="72"/>
  <c r="P50" i="72"/>
  <c r="P114" i="72"/>
  <c r="P52" i="72"/>
  <c r="P64" i="72"/>
  <c r="P19" i="72"/>
  <c r="P83" i="72"/>
  <c r="P13" i="72"/>
  <c r="P57" i="72"/>
  <c r="P93" i="72"/>
  <c r="P6" i="72"/>
  <c r="P70" i="72"/>
  <c r="P79" i="72"/>
  <c r="P40" i="72"/>
  <c r="P81" i="72"/>
  <c r="P117" i="72"/>
  <c r="P87" i="72"/>
  <c r="P105" i="72"/>
  <c r="P58" i="72"/>
  <c r="P122" i="72"/>
  <c r="P60" i="72"/>
  <c r="P96" i="72"/>
  <c r="P27" i="72"/>
  <c r="P91" i="72"/>
  <c r="P37" i="72"/>
  <c r="P97" i="72"/>
  <c r="P14" i="72"/>
  <c r="P78" i="72"/>
  <c r="P23" i="72"/>
  <c r="P48" i="72"/>
  <c r="P120" i="72"/>
  <c r="P90" i="72"/>
  <c r="P89" i="72"/>
  <c r="P59" i="72"/>
  <c r="P109" i="72"/>
  <c r="P46" i="72"/>
  <c r="P25" i="72"/>
  <c r="P66" i="72"/>
  <c r="P4" i="72"/>
  <c r="P76" i="72"/>
  <c r="P112" i="72"/>
  <c r="P35" i="72"/>
  <c r="P99" i="72"/>
  <c r="P53" i="72"/>
  <c r="P5" i="72"/>
  <c r="P32" i="72"/>
  <c r="P22" i="72"/>
  <c r="P86" i="72"/>
  <c r="P31" i="72"/>
  <c r="P95" i="72"/>
  <c r="P56" i="72"/>
  <c r="L3" i="72"/>
  <c r="P3" i="72" s="1"/>
  <c r="P82" i="72"/>
  <c r="P49" i="72"/>
  <c r="P115" i="72"/>
  <c r="P29" i="72"/>
  <c r="P38" i="72"/>
  <c r="P111" i="72"/>
  <c r="P108" i="72"/>
  <c r="P55" i="72"/>
  <c r="P10" i="72"/>
  <c r="P74" i="72"/>
  <c r="P12" i="72"/>
  <c r="P84" i="72"/>
  <c r="P17" i="72"/>
  <c r="P43" i="72"/>
  <c r="P107" i="72"/>
  <c r="P69" i="72"/>
  <c r="P21" i="72"/>
  <c r="P80" i="72"/>
  <c r="P30" i="72"/>
  <c r="P94" i="72"/>
  <c r="P39" i="72"/>
  <c r="P103" i="72"/>
  <c r="P88" i="72"/>
  <c r="P18" i="72"/>
  <c r="P20" i="72"/>
  <c r="P100" i="72"/>
  <c r="P51" i="72"/>
  <c r="P85" i="72"/>
  <c r="P104" i="72"/>
  <c r="P102" i="72"/>
  <c r="P47" i="72"/>
  <c r="P28" i="72"/>
  <c r="P68" i="72"/>
  <c r="P33" i="72"/>
  <c r="P119" i="72"/>
  <c r="O84" i="106"/>
  <c r="P84" i="106" s="1"/>
  <c r="O13" i="106"/>
  <c r="P13" i="106" s="1"/>
  <c r="O122" i="106"/>
  <c r="P122" i="106" s="1"/>
  <c r="O52" i="106"/>
  <c r="P52" i="106" s="1"/>
  <c r="O35" i="106"/>
  <c r="P35" i="106" s="1"/>
  <c r="O82" i="106"/>
  <c r="P82" i="106" s="1"/>
  <c r="O40" i="106"/>
  <c r="P40" i="106" s="1"/>
  <c r="O34" i="106"/>
  <c r="P34" i="106" s="1"/>
  <c r="O112" i="106"/>
  <c r="P112" i="106" s="1"/>
  <c r="O116" i="106"/>
  <c r="P116" i="106" s="1"/>
  <c r="O20" i="106"/>
  <c r="P20" i="106" s="1"/>
  <c r="O85" i="106"/>
  <c r="P85" i="106" s="1"/>
  <c r="O107" i="106"/>
  <c r="P107" i="106" s="1"/>
  <c r="O31" i="106"/>
  <c r="P31" i="106" s="1"/>
  <c r="O66" i="106"/>
  <c r="P66" i="106" s="1"/>
  <c r="O23" i="106"/>
  <c r="P23" i="106" s="1"/>
  <c r="O62" i="106"/>
  <c r="P62" i="106" s="1"/>
  <c r="O21" i="106"/>
  <c r="P21" i="106" s="1"/>
  <c r="O111" i="106"/>
  <c r="O99" i="106"/>
  <c r="O55" i="106"/>
  <c r="P55" i="106" s="1"/>
  <c r="O38" i="106"/>
  <c r="P38" i="106" s="1"/>
  <c r="O37" i="106"/>
  <c r="P37" i="106" s="1"/>
  <c r="O67" i="106"/>
  <c r="P67" i="106" s="1"/>
  <c r="O89" i="106"/>
  <c r="P89" i="106" s="1"/>
  <c r="O81" i="106"/>
  <c r="P81" i="106" s="1"/>
  <c r="O56" i="106"/>
  <c r="P56" i="106" s="1"/>
  <c r="O26" i="106"/>
  <c r="P26" i="106" s="1"/>
  <c r="O24" i="106"/>
  <c r="P24" i="106" s="1"/>
  <c r="O120" i="106"/>
  <c r="P120" i="106" s="1"/>
  <c r="O79" i="106"/>
  <c r="P79" i="106" s="1"/>
  <c r="O64" i="106"/>
  <c r="P64" i="106" s="1"/>
  <c r="O73" i="106"/>
  <c r="P73" i="106" s="1"/>
  <c r="O18" i="106"/>
  <c r="P18" i="106" s="1"/>
  <c r="O78" i="106"/>
  <c r="P78" i="106" s="1"/>
  <c r="O4" i="106"/>
  <c r="P4" i="106" s="1"/>
  <c r="O71" i="106"/>
  <c r="P71" i="106" s="1"/>
  <c r="O104" i="106"/>
  <c r="P104" i="106" s="1"/>
  <c r="O72" i="106"/>
  <c r="P72" i="106" s="1"/>
  <c r="O115" i="106"/>
  <c r="P115" i="106" s="1"/>
  <c r="O10" i="106"/>
  <c r="P10" i="106" s="1"/>
  <c r="O25" i="106"/>
  <c r="P25" i="106" s="1"/>
  <c r="O59" i="106"/>
  <c r="P59" i="106" s="1"/>
  <c r="O43" i="106"/>
  <c r="P43" i="106" s="1"/>
  <c r="O86" i="106"/>
  <c r="P86" i="106" s="1"/>
  <c r="O101" i="106"/>
  <c r="P101" i="106" s="1"/>
  <c r="O77" i="106"/>
  <c r="P77" i="106" s="1"/>
  <c r="O75" i="106"/>
  <c r="O17" i="106"/>
  <c r="P17" i="106" s="1"/>
  <c r="O63" i="106"/>
  <c r="O33" i="106"/>
  <c r="P33" i="106" s="1"/>
  <c r="O65" i="106"/>
  <c r="P65" i="106" s="1"/>
  <c r="O58" i="106"/>
  <c r="P58" i="106" s="1"/>
  <c r="O121" i="106"/>
  <c r="P121" i="106" s="1"/>
  <c r="O119" i="106"/>
  <c r="P119" i="106" s="1"/>
  <c r="O9" i="106"/>
  <c r="P9" i="106" s="1"/>
  <c r="O41" i="106"/>
  <c r="P41" i="106" s="1"/>
  <c r="O103" i="106"/>
  <c r="P103" i="106" s="1"/>
  <c r="O90" i="106"/>
  <c r="P90" i="106" s="1"/>
  <c r="O76" i="106"/>
  <c r="P76" i="106" s="1"/>
  <c r="O98" i="106"/>
  <c r="P98" i="106" s="1"/>
  <c r="O70" i="106"/>
  <c r="P70" i="106" s="1"/>
  <c r="O30" i="106"/>
  <c r="P30" i="106" s="1"/>
  <c r="O19" i="106"/>
  <c r="P19" i="106" s="1"/>
  <c r="O44" i="106"/>
  <c r="P44" i="106" s="1"/>
  <c r="O102" i="106"/>
  <c r="P102" i="106" s="1"/>
  <c r="O106" i="106"/>
  <c r="P106" i="106" s="1"/>
  <c r="O29" i="106"/>
  <c r="P29" i="106" s="1"/>
  <c r="O7" i="106"/>
  <c r="P7" i="106" s="1"/>
  <c r="O95" i="106"/>
  <c r="P95" i="106" s="1"/>
  <c r="O28" i="106"/>
  <c r="P28" i="106" s="1"/>
  <c r="O96" i="106"/>
  <c r="P96" i="106" s="1"/>
  <c r="O69" i="106"/>
  <c r="P69" i="106" s="1"/>
  <c r="O94" i="106"/>
  <c r="P94" i="106" s="1"/>
  <c r="O8" i="106"/>
  <c r="P8" i="106" s="1"/>
  <c r="O110" i="106"/>
  <c r="P110" i="106" s="1"/>
  <c r="O92" i="106"/>
  <c r="P92" i="106" s="1"/>
  <c r="O87" i="106"/>
  <c r="O91" i="106"/>
  <c r="P91" i="106" s="1"/>
  <c r="O109" i="106"/>
  <c r="P109" i="106" s="1"/>
  <c r="O54" i="106"/>
  <c r="P54" i="106" s="1"/>
  <c r="O97" i="106"/>
  <c r="P97" i="106" s="1"/>
  <c r="O57" i="106"/>
  <c r="P57" i="106" s="1"/>
  <c r="O12" i="106"/>
  <c r="P12" i="106" s="1"/>
  <c r="O49" i="106"/>
  <c r="P49" i="106" s="1"/>
  <c r="O83" i="106"/>
  <c r="P83" i="106" s="1"/>
  <c r="O53" i="106"/>
  <c r="P53" i="106" s="1"/>
  <c r="O27" i="106"/>
  <c r="O80" i="106"/>
  <c r="P80" i="106" s="1"/>
  <c r="O47" i="106"/>
  <c r="P47" i="106" s="1"/>
  <c r="O61" i="106"/>
  <c r="P61" i="106" s="1"/>
  <c r="O36" i="106"/>
  <c r="P36" i="106" s="1"/>
  <c r="O11" i="106"/>
  <c r="P11" i="106" s="1"/>
  <c r="O46" i="106"/>
  <c r="P46" i="106" s="1"/>
  <c r="O60" i="106"/>
  <c r="P60" i="106" s="1"/>
  <c r="O42" i="106"/>
  <c r="P42" i="106" s="1"/>
  <c r="O114" i="106"/>
  <c r="P114" i="106" s="1"/>
  <c r="O15" i="106"/>
  <c r="O32" i="106"/>
  <c r="P32" i="106" s="1"/>
  <c r="O6" i="106"/>
  <c r="P6" i="106" s="1"/>
  <c r="O68" i="106"/>
  <c r="P68" i="106" s="1"/>
  <c r="O5" i="106"/>
  <c r="P5" i="106" s="1"/>
  <c r="O50" i="106"/>
  <c r="P50" i="106" s="1"/>
  <c r="O48" i="106"/>
  <c r="P48" i="106" s="1"/>
  <c r="O22" i="106"/>
  <c r="P22" i="106" s="1"/>
  <c r="O51" i="106"/>
  <c r="O100" i="106"/>
  <c r="P100" i="106" s="1"/>
  <c r="O88" i="106"/>
  <c r="P88" i="106" s="1"/>
  <c r="O108" i="106"/>
  <c r="P108" i="106" s="1"/>
  <c r="O14" i="106"/>
  <c r="P14" i="106" s="1"/>
  <c r="O113" i="106"/>
  <c r="P113" i="106" s="1"/>
  <c r="L3" i="106"/>
  <c r="O3" i="106" s="1"/>
  <c r="O16" i="106"/>
  <c r="P16" i="106" s="1"/>
  <c r="O105" i="106"/>
  <c r="P105" i="106" s="1"/>
  <c r="O117" i="106"/>
  <c r="P117" i="106" s="1"/>
  <c r="O118" i="106"/>
  <c r="P118" i="106" s="1"/>
  <c r="O74" i="106"/>
  <c r="P74" i="106" s="1"/>
  <c r="O39" i="106"/>
  <c r="O45" i="106"/>
  <c r="P45" i="106" s="1"/>
  <c r="O93" i="106"/>
  <c r="P93" i="106" s="1"/>
  <c r="A13" i="18"/>
  <c r="A11" i="18"/>
  <c r="A12" i="18"/>
  <c r="A33" i="17"/>
  <c r="A34" i="17"/>
  <c r="N2" i="9"/>
  <c r="M2" i="9"/>
  <c r="L2" i="9"/>
  <c r="K2" i="9"/>
  <c r="S161" i="72"/>
  <c r="S162" i="72"/>
  <c r="S163" i="72"/>
  <c r="R161" i="72"/>
  <c r="R162" i="72"/>
  <c r="R163" i="72"/>
  <c r="R160" i="72"/>
  <c r="S160" i="72"/>
  <c r="R159" i="72"/>
  <c r="S159" i="72"/>
  <c r="R158" i="72"/>
  <c r="S158" i="72"/>
  <c r="R157" i="72"/>
  <c r="S157" i="72"/>
  <c r="R156" i="72"/>
  <c r="S156" i="72"/>
  <c r="R155" i="72"/>
  <c r="S155" i="72"/>
  <c r="R154" i="72"/>
  <c r="S154" i="72"/>
  <c r="R153" i="72"/>
  <c r="S153" i="72"/>
  <c r="R152" i="72"/>
  <c r="K5" i="114" l="1"/>
  <c r="K6" i="114" s="1"/>
  <c r="K7" i="114" s="1"/>
  <c r="K8" i="114" s="1"/>
  <c r="K9" i="114" s="1"/>
  <c r="K10" i="114" s="1"/>
  <c r="K11" i="114" s="1"/>
  <c r="K12" i="114" s="1"/>
  <c r="K13" i="114" s="1"/>
  <c r="K14" i="114" s="1"/>
  <c r="K15" i="114" s="1"/>
  <c r="Q48" i="106"/>
  <c r="R48" i="106" s="1"/>
  <c r="S48" i="106"/>
  <c r="T48" i="106"/>
  <c r="U48" i="106" s="1"/>
  <c r="P27" i="106"/>
  <c r="P154" i="106"/>
  <c r="S154" i="106" s="1"/>
  <c r="Q96" i="106"/>
  <c r="R96" i="106" s="1"/>
  <c r="S96" i="106"/>
  <c r="T96" i="106"/>
  <c r="U96" i="106" s="1"/>
  <c r="Q9" i="106"/>
  <c r="R9" i="106" s="1"/>
  <c r="S9" i="106"/>
  <c r="T9" i="106"/>
  <c r="U9" i="106" s="1"/>
  <c r="T115" i="106"/>
  <c r="U115" i="106" s="1"/>
  <c r="Q115" i="106"/>
  <c r="R115" i="106" s="1"/>
  <c r="S115" i="106"/>
  <c r="S67" i="106"/>
  <c r="Q67" i="106"/>
  <c r="R67" i="106" s="1"/>
  <c r="T67" i="106"/>
  <c r="U67" i="106" s="1"/>
  <c r="Q34" i="106"/>
  <c r="R34" i="106" s="1"/>
  <c r="S34" i="106"/>
  <c r="T34" i="106"/>
  <c r="U34" i="106" s="1"/>
  <c r="S45" i="106"/>
  <c r="T45" i="106"/>
  <c r="U45" i="106" s="1"/>
  <c r="Q45" i="106"/>
  <c r="R45" i="106" s="1"/>
  <c r="S113" i="106"/>
  <c r="Q113" i="106"/>
  <c r="R113" i="106" s="1"/>
  <c r="T113" i="106"/>
  <c r="U113" i="106" s="1"/>
  <c r="Q50" i="106"/>
  <c r="R50" i="106" s="1"/>
  <c r="T50" i="106"/>
  <c r="U50" i="106" s="1"/>
  <c r="S50" i="106"/>
  <c r="T60" i="106"/>
  <c r="U60" i="106" s="1"/>
  <c r="S60" i="106"/>
  <c r="Q60" i="106"/>
  <c r="R60" i="106" s="1"/>
  <c r="S53" i="106"/>
  <c r="Q53" i="106"/>
  <c r="R53" i="106" s="1"/>
  <c r="T53" i="106"/>
  <c r="U53" i="106" s="1"/>
  <c r="Q91" i="106"/>
  <c r="R91" i="106" s="1"/>
  <c r="S91" i="106"/>
  <c r="T91" i="106"/>
  <c r="U91" i="106" s="1"/>
  <c r="Q28" i="106"/>
  <c r="R28" i="106" s="1"/>
  <c r="S28" i="106"/>
  <c r="S30" i="106"/>
  <c r="Q30" i="106"/>
  <c r="R30" i="106" s="1"/>
  <c r="T30" i="106"/>
  <c r="U30" i="106" s="1"/>
  <c r="S119" i="106"/>
  <c r="T119" i="106"/>
  <c r="U119" i="106" s="1"/>
  <c r="Q119" i="106"/>
  <c r="R119" i="106" s="1"/>
  <c r="Q77" i="106"/>
  <c r="R77" i="106" s="1"/>
  <c r="T77" i="106"/>
  <c r="U77" i="106" s="1"/>
  <c r="S77" i="106"/>
  <c r="T72" i="106"/>
  <c r="U72" i="106" s="1"/>
  <c r="S72" i="106"/>
  <c r="Q72" i="106"/>
  <c r="R72" i="106" s="1"/>
  <c r="T79" i="106"/>
  <c r="U79" i="106" s="1"/>
  <c r="Q79" i="106"/>
  <c r="R79" i="106" s="1"/>
  <c r="S79" i="106"/>
  <c r="Q37" i="106"/>
  <c r="R37" i="106" s="1"/>
  <c r="T37" i="106"/>
  <c r="U37" i="106" s="1"/>
  <c r="S37" i="106"/>
  <c r="Q66" i="106"/>
  <c r="R66" i="106" s="1"/>
  <c r="T66" i="106"/>
  <c r="U66" i="106" s="1"/>
  <c r="S66" i="106"/>
  <c r="S40" i="106"/>
  <c r="Q40" i="106"/>
  <c r="R40" i="106" s="1"/>
  <c r="P152" i="106"/>
  <c r="P3" i="106"/>
  <c r="Q42" i="106"/>
  <c r="R42" i="106" s="1"/>
  <c r="T42" i="106"/>
  <c r="U42" i="106" s="1"/>
  <c r="S42" i="106"/>
  <c r="T109" i="106"/>
  <c r="U109" i="106" s="1"/>
  <c r="Q109" i="106"/>
  <c r="R109" i="106" s="1"/>
  <c r="S109" i="106"/>
  <c r="T19" i="106"/>
  <c r="U19" i="106" s="1"/>
  <c r="Q19" i="106"/>
  <c r="R19" i="106" s="1"/>
  <c r="S19" i="106"/>
  <c r="P158" i="106"/>
  <c r="S158" i="106" s="1"/>
  <c r="P75" i="106"/>
  <c r="Q64" i="106"/>
  <c r="R64" i="106" s="1"/>
  <c r="S64" i="106"/>
  <c r="Q23" i="106"/>
  <c r="R23" i="106" s="1"/>
  <c r="T23" i="106"/>
  <c r="U23" i="106" s="1"/>
  <c r="S23" i="106"/>
  <c r="P155" i="106"/>
  <c r="S155" i="106" s="1"/>
  <c r="P39" i="106"/>
  <c r="Q14" i="106"/>
  <c r="R14" i="106" s="1"/>
  <c r="T14" i="106"/>
  <c r="U14" i="106" s="1"/>
  <c r="S14" i="106"/>
  <c r="S5" i="106"/>
  <c r="Q5" i="106"/>
  <c r="R5" i="106" s="1"/>
  <c r="T5" i="106"/>
  <c r="U5" i="106" s="1"/>
  <c r="Q46" i="106"/>
  <c r="R46" i="106" s="1"/>
  <c r="T46" i="106"/>
  <c r="U46" i="106" s="1"/>
  <c r="S46" i="106"/>
  <c r="Q83" i="106"/>
  <c r="R83" i="106" s="1"/>
  <c r="T83" i="106"/>
  <c r="U83" i="106" s="1"/>
  <c r="S83" i="106"/>
  <c r="P87" i="106"/>
  <c r="P159" i="106"/>
  <c r="S159" i="106" s="1"/>
  <c r="Q95" i="106"/>
  <c r="R95" i="106" s="1"/>
  <c r="S95" i="106"/>
  <c r="T95" i="106"/>
  <c r="U95" i="106" s="1"/>
  <c r="S70" i="106"/>
  <c r="T70" i="106"/>
  <c r="U70" i="106" s="1"/>
  <c r="Q70" i="106"/>
  <c r="R70" i="106" s="1"/>
  <c r="S121" i="106"/>
  <c r="T121" i="106"/>
  <c r="U121" i="106" s="1"/>
  <c r="Q121" i="106"/>
  <c r="R121" i="106" s="1"/>
  <c r="T101" i="106"/>
  <c r="U101" i="106" s="1"/>
  <c r="S101" i="106"/>
  <c r="Q101" i="106"/>
  <c r="R101" i="106" s="1"/>
  <c r="T104" i="106"/>
  <c r="U104" i="106" s="1"/>
  <c r="Q104" i="106"/>
  <c r="R104" i="106" s="1"/>
  <c r="S104" i="106"/>
  <c r="T120" i="106"/>
  <c r="U120" i="106" s="1"/>
  <c r="S120" i="106"/>
  <c r="Q120" i="106"/>
  <c r="R120" i="106" s="1"/>
  <c r="S38" i="106"/>
  <c r="T38" i="106"/>
  <c r="U38" i="106" s="1"/>
  <c r="Q38" i="106"/>
  <c r="R38" i="106" s="1"/>
  <c r="Q31" i="106"/>
  <c r="R31" i="106" s="1"/>
  <c r="T31" i="106"/>
  <c r="U31" i="106" s="1"/>
  <c r="S31" i="106"/>
  <c r="T82" i="106"/>
  <c r="U82" i="106" s="1"/>
  <c r="S82" i="106"/>
  <c r="Q82" i="106"/>
  <c r="R82" i="106" s="1"/>
  <c r="Q68" i="106"/>
  <c r="R68" i="106" s="1"/>
  <c r="T68" i="106"/>
  <c r="U68" i="106" s="1"/>
  <c r="S68" i="106"/>
  <c r="S98" i="106"/>
  <c r="Q98" i="106"/>
  <c r="R98" i="106" s="1"/>
  <c r="T98" i="106"/>
  <c r="U98" i="106" s="1"/>
  <c r="S71" i="106"/>
  <c r="T71" i="106"/>
  <c r="U71" i="106" s="1"/>
  <c r="Q71" i="106"/>
  <c r="R71" i="106" s="1"/>
  <c r="S35" i="106"/>
  <c r="T35" i="106"/>
  <c r="U35" i="106" s="1"/>
  <c r="Q35" i="106"/>
  <c r="R35" i="106" s="1"/>
  <c r="S6" i="106"/>
  <c r="T6" i="106"/>
  <c r="U6" i="106" s="1"/>
  <c r="Q6" i="106"/>
  <c r="R6" i="106" s="1"/>
  <c r="Q12" i="106"/>
  <c r="R12" i="106" s="1"/>
  <c r="T12" i="106"/>
  <c r="U12" i="106" s="1"/>
  <c r="S12" i="106"/>
  <c r="Q110" i="106"/>
  <c r="R110" i="106" s="1"/>
  <c r="T110" i="106"/>
  <c r="U110" i="106" s="1"/>
  <c r="S110" i="106"/>
  <c r="Q29" i="106"/>
  <c r="R29" i="106" s="1"/>
  <c r="S29" i="106"/>
  <c r="T29" i="106"/>
  <c r="U29" i="106" s="1"/>
  <c r="Q76" i="106"/>
  <c r="R76" i="106" s="1"/>
  <c r="S76" i="106"/>
  <c r="T65" i="106"/>
  <c r="U65" i="106" s="1"/>
  <c r="Q65" i="106"/>
  <c r="R65" i="106" s="1"/>
  <c r="S65" i="106"/>
  <c r="S43" i="106"/>
  <c r="Q43" i="106"/>
  <c r="R43" i="106" s="1"/>
  <c r="T43" i="106"/>
  <c r="U43" i="106" s="1"/>
  <c r="Q4" i="106"/>
  <c r="R4" i="106" s="1"/>
  <c r="S4" i="106"/>
  <c r="T26" i="106"/>
  <c r="U26" i="106" s="1"/>
  <c r="S26" i="106"/>
  <c r="Q26" i="106"/>
  <c r="R26" i="106" s="1"/>
  <c r="P99" i="106"/>
  <c r="P160" i="106"/>
  <c r="S160" i="106" s="1"/>
  <c r="S85" i="106"/>
  <c r="Q85" i="106"/>
  <c r="R85" i="106" s="1"/>
  <c r="T85" i="106"/>
  <c r="U85" i="106" s="1"/>
  <c r="S52" i="106"/>
  <c r="Q52" i="106"/>
  <c r="R52" i="106" s="1"/>
  <c r="Q160" i="72"/>
  <c r="Q74" i="106"/>
  <c r="R74" i="106" s="1"/>
  <c r="T74" i="106"/>
  <c r="U74" i="106" s="1"/>
  <c r="S74" i="106"/>
  <c r="Q11" i="106"/>
  <c r="R11" i="106" s="1"/>
  <c r="T11" i="106"/>
  <c r="U11" i="106" s="1"/>
  <c r="S11" i="106"/>
  <c r="T7" i="106"/>
  <c r="U7" i="106" s="1"/>
  <c r="Q7" i="106"/>
  <c r="R7" i="106" s="1"/>
  <c r="S7" i="106"/>
  <c r="Q58" i="106"/>
  <c r="R58" i="106" s="1"/>
  <c r="S58" i="106"/>
  <c r="T58" i="106"/>
  <c r="U58" i="106" s="1"/>
  <c r="Q24" i="106"/>
  <c r="R24" i="106" s="1"/>
  <c r="T24" i="106"/>
  <c r="U24" i="106" s="1"/>
  <c r="S24" i="106"/>
  <c r="S55" i="106"/>
  <c r="T55" i="106"/>
  <c r="U55" i="106" s="1"/>
  <c r="Q55" i="106"/>
  <c r="R55" i="106" s="1"/>
  <c r="Q152" i="72"/>
  <c r="Q118" i="106"/>
  <c r="R118" i="106" s="1"/>
  <c r="T118" i="106"/>
  <c r="U118" i="106" s="1"/>
  <c r="S118" i="106"/>
  <c r="Q88" i="106"/>
  <c r="R88" i="106" s="1"/>
  <c r="S88" i="106"/>
  <c r="T36" i="106"/>
  <c r="U36" i="106" s="1"/>
  <c r="S36" i="106"/>
  <c r="Q36" i="106"/>
  <c r="R36" i="106" s="1"/>
  <c r="T117" i="106"/>
  <c r="U117" i="106" s="1"/>
  <c r="Q117" i="106"/>
  <c r="R117" i="106" s="1"/>
  <c r="S117" i="106"/>
  <c r="Q100" i="106"/>
  <c r="R100" i="106" s="1"/>
  <c r="S100" i="106"/>
  <c r="Q32" i="106"/>
  <c r="R32" i="106" s="1"/>
  <c r="T32" i="106"/>
  <c r="U32" i="106" s="1"/>
  <c r="S32" i="106"/>
  <c r="Q61" i="106"/>
  <c r="R61" i="106" s="1"/>
  <c r="S61" i="106"/>
  <c r="T61" i="106"/>
  <c r="U61" i="106" s="1"/>
  <c r="S57" i="106"/>
  <c r="Q57" i="106"/>
  <c r="R57" i="106" s="1"/>
  <c r="T57" i="106"/>
  <c r="U57" i="106" s="1"/>
  <c r="Q8" i="106"/>
  <c r="R8" i="106" s="1"/>
  <c r="T8" i="106"/>
  <c r="U8" i="106" s="1"/>
  <c r="S8" i="106"/>
  <c r="T106" i="106"/>
  <c r="U106" i="106" s="1"/>
  <c r="Q106" i="106"/>
  <c r="R106" i="106" s="1"/>
  <c r="S106" i="106"/>
  <c r="Q90" i="106"/>
  <c r="R90" i="106" s="1"/>
  <c r="S90" i="106"/>
  <c r="T90" i="106"/>
  <c r="U90" i="106" s="1"/>
  <c r="T33" i="106"/>
  <c r="U33" i="106" s="1"/>
  <c r="Q33" i="106"/>
  <c r="R33" i="106" s="1"/>
  <c r="S33" i="106"/>
  <c r="Q59" i="106"/>
  <c r="R59" i="106" s="1"/>
  <c r="T59" i="106"/>
  <c r="U59" i="106" s="1"/>
  <c r="S59" i="106"/>
  <c r="T78" i="106"/>
  <c r="U78" i="106" s="1"/>
  <c r="S78" i="106"/>
  <c r="Q78" i="106"/>
  <c r="R78" i="106" s="1"/>
  <c r="Q56" i="106"/>
  <c r="R56" i="106" s="1"/>
  <c r="S56" i="106"/>
  <c r="T56" i="106"/>
  <c r="U56" i="106" s="1"/>
  <c r="P111" i="106"/>
  <c r="P161" i="106"/>
  <c r="S161" i="106" s="1"/>
  <c r="Q20" i="106"/>
  <c r="R20" i="106" s="1"/>
  <c r="S20" i="106"/>
  <c r="T20" i="106"/>
  <c r="U20" i="106" s="1"/>
  <c r="T122" i="106"/>
  <c r="U122" i="106" s="1"/>
  <c r="S122" i="106"/>
  <c r="Q122" i="106"/>
  <c r="R122" i="106" s="1"/>
  <c r="Q161" i="72"/>
  <c r="Q108" i="106"/>
  <c r="R108" i="106" s="1"/>
  <c r="T108" i="106"/>
  <c r="U108" i="106" s="1"/>
  <c r="S108" i="106"/>
  <c r="Q92" i="106"/>
  <c r="R92" i="106" s="1"/>
  <c r="S92" i="106"/>
  <c r="T92" i="106"/>
  <c r="U92" i="106" s="1"/>
  <c r="S86" i="106"/>
  <c r="T86" i="106"/>
  <c r="U86" i="106" s="1"/>
  <c r="Q86" i="106"/>
  <c r="R86" i="106" s="1"/>
  <c r="T107" i="106"/>
  <c r="U107" i="106" s="1"/>
  <c r="Q107" i="106"/>
  <c r="R107" i="106" s="1"/>
  <c r="S107" i="106"/>
  <c r="S105" i="106"/>
  <c r="Q105" i="106"/>
  <c r="R105" i="106" s="1"/>
  <c r="T105" i="106"/>
  <c r="U105" i="106" s="1"/>
  <c r="P156" i="106"/>
  <c r="S156" i="106" s="1"/>
  <c r="P51" i="106"/>
  <c r="P15" i="106"/>
  <c r="T16" i="106" s="1"/>
  <c r="U16" i="106" s="1"/>
  <c r="P153" i="106"/>
  <c r="S153" i="106" s="1"/>
  <c r="S47" i="106"/>
  <c r="T47" i="106"/>
  <c r="U47" i="106" s="1"/>
  <c r="Q47" i="106"/>
  <c r="R47" i="106" s="1"/>
  <c r="S97" i="106"/>
  <c r="Q97" i="106"/>
  <c r="R97" i="106" s="1"/>
  <c r="T97" i="106"/>
  <c r="U97" i="106" s="1"/>
  <c r="S94" i="106"/>
  <c r="T94" i="106"/>
  <c r="U94" i="106" s="1"/>
  <c r="Q94" i="106"/>
  <c r="R94" i="106" s="1"/>
  <c r="S102" i="106"/>
  <c r="T102" i="106"/>
  <c r="U102" i="106" s="1"/>
  <c r="Q102" i="106"/>
  <c r="R102" i="106" s="1"/>
  <c r="Q103" i="106"/>
  <c r="R103" i="106" s="1"/>
  <c r="S103" i="106"/>
  <c r="T103" i="106"/>
  <c r="U103" i="106" s="1"/>
  <c r="P157" i="106"/>
  <c r="S157" i="106" s="1"/>
  <c r="P63" i="106"/>
  <c r="T64" i="106" s="1"/>
  <c r="U64" i="106" s="1"/>
  <c r="Q25" i="106"/>
  <c r="R25" i="106" s="1"/>
  <c r="S25" i="106"/>
  <c r="T25" i="106"/>
  <c r="U25" i="106" s="1"/>
  <c r="Q18" i="106"/>
  <c r="R18" i="106" s="1"/>
  <c r="S18" i="106"/>
  <c r="T18" i="106"/>
  <c r="U18" i="106" s="1"/>
  <c r="S81" i="106"/>
  <c r="Q81" i="106"/>
  <c r="R81" i="106" s="1"/>
  <c r="T81" i="106"/>
  <c r="U81" i="106" s="1"/>
  <c r="Q21" i="106"/>
  <c r="R21" i="106" s="1"/>
  <c r="S21" i="106"/>
  <c r="T21" i="106"/>
  <c r="U21" i="106" s="1"/>
  <c r="Q116" i="106"/>
  <c r="R116" i="106" s="1"/>
  <c r="T116" i="106"/>
  <c r="U116" i="106" s="1"/>
  <c r="S116" i="106"/>
  <c r="S13" i="106"/>
  <c r="T13" i="106"/>
  <c r="U13" i="106" s="1"/>
  <c r="Q13" i="106"/>
  <c r="R13" i="106" s="1"/>
  <c r="Q93" i="106"/>
  <c r="R93" i="106" s="1"/>
  <c r="S93" i="106"/>
  <c r="T93" i="106"/>
  <c r="U93" i="106" s="1"/>
  <c r="Q49" i="106"/>
  <c r="R49" i="106" s="1"/>
  <c r="T49" i="106"/>
  <c r="U49" i="106" s="1"/>
  <c r="S49" i="106"/>
  <c r="S16" i="106"/>
  <c r="Q16" i="106"/>
  <c r="R16" i="106" s="1"/>
  <c r="S22" i="106"/>
  <c r="T22" i="106"/>
  <c r="U22" i="106" s="1"/>
  <c r="Q22" i="106"/>
  <c r="R22" i="106" s="1"/>
  <c r="T114" i="106"/>
  <c r="U114" i="106" s="1"/>
  <c r="S114" i="106"/>
  <c r="Q114" i="106"/>
  <c r="R114" i="106" s="1"/>
  <c r="S80" i="106"/>
  <c r="Q80" i="106"/>
  <c r="R80" i="106" s="1"/>
  <c r="T80" i="106"/>
  <c r="U80" i="106" s="1"/>
  <c r="T54" i="106"/>
  <c r="U54" i="106" s="1"/>
  <c r="Q54" i="106"/>
  <c r="R54" i="106" s="1"/>
  <c r="S54" i="106"/>
  <c r="Q69" i="106"/>
  <c r="R69" i="106" s="1"/>
  <c r="S69" i="106"/>
  <c r="T69" i="106"/>
  <c r="U69" i="106" s="1"/>
  <c r="S44" i="106"/>
  <c r="Q44" i="106"/>
  <c r="R44" i="106" s="1"/>
  <c r="T44" i="106"/>
  <c r="U44" i="106" s="1"/>
  <c r="T41" i="106"/>
  <c r="U41" i="106" s="1"/>
  <c r="Q41" i="106"/>
  <c r="R41" i="106" s="1"/>
  <c r="S41" i="106"/>
  <c r="Q17" i="106"/>
  <c r="R17" i="106" s="1"/>
  <c r="S17" i="106"/>
  <c r="T17" i="106"/>
  <c r="U17" i="106" s="1"/>
  <c r="T10" i="106"/>
  <c r="U10" i="106" s="1"/>
  <c r="S10" i="106"/>
  <c r="Q10" i="106"/>
  <c r="R10" i="106" s="1"/>
  <c r="S73" i="106"/>
  <c r="Q73" i="106"/>
  <c r="R73" i="106" s="1"/>
  <c r="T73" i="106"/>
  <c r="U73" i="106" s="1"/>
  <c r="S89" i="106"/>
  <c r="T89" i="106"/>
  <c r="U89" i="106" s="1"/>
  <c r="Q89" i="106"/>
  <c r="R89" i="106" s="1"/>
  <c r="Q62" i="106"/>
  <c r="R62" i="106" s="1"/>
  <c r="T62" i="106"/>
  <c r="U62" i="106" s="1"/>
  <c r="S62" i="106"/>
  <c r="S112" i="106"/>
  <c r="Q112" i="106"/>
  <c r="R112" i="106" s="1"/>
  <c r="S84" i="106"/>
  <c r="Q84" i="106"/>
  <c r="R84" i="106" s="1"/>
  <c r="T84" i="106"/>
  <c r="U84" i="106" s="1"/>
  <c r="B11" i="18"/>
  <c r="E11" i="18"/>
  <c r="D11" i="18"/>
  <c r="S152" i="72"/>
  <c r="D6" i="72"/>
  <c r="G6" i="72" s="1"/>
  <c r="D14" i="72"/>
  <c r="G14" i="72" s="1"/>
  <c r="Q14" i="72" s="1"/>
  <c r="D22" i="72"/>
  <c r="G22" i="72" s="1"/>
  <c r="D30" i="72"/>
  <c r="G30" i="72" s="1"/>
  <c r="D38" i="72"/>
  <c r="G38" i="72" s="1"/>
  <c r="D46" i="72"/>
  <c r="G46" i="72" s="1"/>
  <c r="D54" i="72"/>
  <c r="G54" i="72" s="1"/>
  <c r="D62" i="72"/>
  <c r="G62" i="72" s="1"/>
  <c r="D70" i="72"/>
  <c r="D102" i="72"/>
  <c r="D7" i="72"/>
  <c r="G7" i="72" s="1"/>
  <c r="D15" i="72"/>
  <c r="D23" i="72"/>
  <c r="G23" i="72" s="1"/>
  <c r="D31" i="72"/>
  <c r="G31" i="72" s="1"/>
  <c r="D39" i="72"/>
  <c r="D47" i="72"/>
  <c r="G47" i="72" s="1"/>
  <c r="D55" i="72"/>
  <c r="G55" i="72" s="1"/>
  <c r="D103" i="72"/>
  <c r="D8" i="72"/>
  <c r="G8" i="72" s="1"/>
  <c r="D16" i="72"/>
  <c r="G16" i="72" s="1"/>
  <c r="D24" i="72"/>
  <c r="G24" i="72" s="1"/>
  <c r="D32" i="72"/>
  <c r="G32" i="72" s="1"/>
  <c r="D40" i="72"/>
  <c r="G40" i="72" s="1"/>
  <c r="D48" i="72"/>
  <c r="G48" i="72" s="1"/>
  <c r="D56" i="72"/>
  <c r="G56" i="72" s="1"/>
  <c r="D64" i="72"/>
  <c r="D72" i="72"/>
  <c r="D80" i="72"/>
  <c r="D88" i="72"/>
  <c r="D96" i="72"/>
  <c r="D104" i="72"/>
  <c r="D9" i="72"/>
  <c r="G9" i="72" s="1"/>
  <c r="D17" i="72"/>
  <c r="G17" i="72" s="1"/>
  <c r="D25" i="72"/>
  <c r="G25" i="72" s="1"/>
  <c r="D33" i="72"/>
  <c r="G33" i="72" s="1"/>
  <c r="D41" i="72"/>
  <c r="G41" i="72" s="1"/>
  <c r="D49" i="72"/>
  <c r="G49" i="72" s="1"/>
  <c r="D65" i="72"/>
  <c r="D73" i="72"/>
  <c r="D81" i="72"/>
  <c r="D89" i="72"/>
  <c r="D105" i="72"/>
  <c r="D18" i="72"/>
  <c r="G18" i="72" s="1"/>
  <c r="D42" i="72"/>
  <c r="G42" i="72" s="1"/>
  <c r="D66" i="72"/>
  <c r="D90" i="72"/>
  <c r="D98" i="72"/>
  <c r="D78" i="72"/>
  <c r="D95" i="72"/>
  <c r="D57" i="72"/>
  <c r="G57" i="72" s="1"/>
  <c r="D97" i="72"/>
  <c r="D26" i="72"/>
  <c r="G26" i="72" s="1"/>
  <c r="D58" i="72"/>
  <c r="G58" i="72" s="1"/>
  <c r="D82" i="72"/>
  <c r="D106" i="72"/>
  <c r="D94" i="72"/>
  <c r="D71" i="72"/>
  <c r="D10" i="72"/>
  <c r="G10" i="72" s="1"/>
  <c r="D34" i="72"/>
  <c r="G34" i="72" s="1"/>
  <c r="D50" i="72"/>
  <c r="G50" i="72" s="1"/>
  <c r="D74" i="72"/>
  <c r="D110" i="72"/>
  <c r="D79" i="72"/>
  <c r="D11" i="72"/>
  <c r="G11" i="72" s="1"/>
  <c r="D19" i="72"/>
  <c r="G19" i="72" s="1"/>
  <c r="D27" i="72"/>
  <c r="D35" i="72"/>
  <c r="G35" i="72" s="1"/>
  <c r="D43" i="72"/>
  <c r="G43" i="72" s="1"/>
  <c r="D51" i="72"/>
  <c r="D59" i="72"/>
  <c r="G59" i="72" s="1"/>
  <c r="D67" i="72"/>
  <c r="D75" i="72"/>
  <c r="D83" i="72"/>
  <c r="D91" i="72"/>
  <c r="D99" i="72"/>
  <c r="D107" i="72"/>
  <c r="D5" i="72"/>
  <c r="G5" i="72" s="1"/>
  <c r="D21" i="72"/>
  <c r="G21" i="72" s="1"/>
  <c r="D37" i="72"/>
  <c r="G37" i="72" s="1"/>
  <c r="D53" i="72"/>
  <c r="G53" i="72" s="1"/>
  <c r="D69" i="72"/>
  <c r="D85" i="72"/>
  <c r="D101" i="72"/>
  <c r="D63" i="72"/>
  <c r="D4" i="72"/>
  <c r="G4" i="72" s="1"/>
  <c r="D12" i="72"/>
  <c r="G12" i="72" s="1"/>
  <c r="D20" i="72"/>
  <c r="G20" i="72" s="1"/>
  <c r="D28" i="72"/>
  <c r="G28" i="72" s="1"/>
  <c r="D36" i="72"/>
  <c r="G36" i="72" s="1"/>
  <c r="D44" i="72"/>
  <c r="G44" i="72" s="1"/>
  <c r="D52" i="72"/>
  <c r="G52" i="72" s="1"/>
  <c r="D60" i="72"/>
  <c r="G60" i="72" s="1"/>
  <c r="D68" i="72"/>
  <c r="D76" i="72"/>
  <c r="D84" i="72"/>
  <c r="D92" i="72"/>
  <c r="D100" i="72"/>
  <c r="D108" i="72"/>
  <c r="D13" i="72"/>
  <c r="G13" i="72" s="1"/>
  <c r="D29" i="72"/>
  <c r="G29" i="72" s="1"/>
  <c r="D45" i="72"/>
  <c r="G45" i="72" s="1"/>
  <c r="D61" i="72"/>
  <c r="G61" i="72" s="1"/>
  <c r="D77" i="72"/>
  <c r="D93" i="72"/>
  <c r="D109" i="72"/>
  <c r="D86" i="72"/>
  <c r="D87" i="72"/>
  <c r="D3" i="72"/>
  <c r="J4" i="11"/>
  <c r="F4" i="11"/>
  <c r="G4" i="11"/>
  <c r="I4" i="11"/>
  <c r="C4" i="11"/>
  <c r="D4" i="11"/>
  <c r="E4" i="11"/>
  <c r="H4" i="11"/>
  <c r="D25" i="18" l="1"/>
  <c r="B25" i="18"/>
  <c r="E25" i="18"/>
  <c r="K16" i="114"/>
  <c r="K18" i="114" s="1"/>
  <c r="L4" i="114"/>
  <c r="Q63" i="106"/>
  <c r="R63" i="106" s="1"/>
  <c r="S63" i="106"/>
  <c r="T63" i="106"/>
  <c r="U63" i="106" s="1"/>
  <c r="T76" i="106"/>
  <c r="U76" i="106" s="1"/>
  <c r="Q75" i="106"/>
  <c r="R75" i="106" s="1"/>
  <c r="S75" i="106"/>
  <c r="T75" i="106"/>
  <c r="U75" i="106" s="1"/>
  <c r="S27" i="106"/>
  <c r="T28" i="106"/>
  <c r="U28" i="106" s="1"/>
  <c r="T27" i="106"/>
  <c r="U27" i="106" s="1"/>
  <c r="Q27" i="106"/>
  <c r="R27" i="106" s="1"/>
  <c r="T88" i="106"/>
  <c r="U88" i="106" s="1"/>
  <c r="T87" i="106"/>
  <c r="U87" i="106" s="1"/>
  <c r="S87" i="106"/>
  <c r="Q87" i="106"/>
  <c r="R87" i="106" s="1"/>
  <c r="T40" i="106"/>
  <c r="U40" i="106" s="1"/>
  <c r="Q39" i="106"/>
  <c r="R39" i="106" s="1"/>
  <c r="S39" i="106"/>
  <c r="T39" i="106"/>
  <c r="U39" i="106" s="1"/>
  <c r="S15" i="106"/>
  <c r="T15" i="106"/>
  <c r="U15" i="106" s="1"/>
  <c r="Q15" i="106"/>
  <c r="R15" i="106" s="1"/>
  <c r="S99" i="106"/>
  <c r="Q99" i="106"/>
  <c r="R99" i="106" s="1"/>
  <c r="T99" i="106"/>
  <c r="U99" i="106" s="1"/>
  <c r="T100" i="106"/>
  <c r="U100" i="106" s="1"/>
  <c r="T112" i="106"/>
  <c r="U112" i="106" s="1"/>
  <c r="S111" i="106"/>
  <c r="Q111" i="106"/>
  <c r="R111" i="106" s="1"/>
  <c r="T111" i="106"/>
  <c r="U111" i="106" s="1"/>
  <c r="S152" i="106"/>
  <c r="S165" i="106" s="1"/>
  <c r="S166" i="106" s="1"/>
  <c r="P165" i="106"/>
  <c r="P166" i="106" s="1"/>
  <c r="Q51" i="106"/>
  <c r="R51" i="106" s="1"/>
  <c r="T52" i="106"/>
  <c r="U52" i="106" s="1"/>
  <c r="S51" i="106"/>
  <c r="T51" i="106"/>
  <c r="U51" i="106" s="1"/>
  <c r="T4" i="106"/>
  <c r="U4" i="106" s="1"/>
  <c r="S3" i="106"/>
  <c r="Q3" i="106"/>
  <c r="R3" i="106" s="1"/>
  <c r="D158" i="72"/>
  <c r="G39" i="72"/>
  <c r="G155" i="72" s="1"/>
  <c r="D155" i="72"/>
  <c r="D152" i="72"/>
  <c r="G3" i="72"/>
  <c r="D157" i="72"/>
  <c r="G15" i="72"/>
  <c r="G153" i="72" s="1"/>
  <c r="D153" i="72"/>
  <c r="D159" i="72"/>
  <c r="D160" i="72"/>
  <c r="G51" i="72"/>
  <c r="G156" i="72" s="1"/>
  <c r="D156" i="72"/>
  <c r="G27" i="72"/>
  <c r="G154" i="72" s="1"/>
  <c r="D154" i="72"/>
  <c r="B4" i="11"/>
  <c r="D42" i="11"/>
  <c r="C42" i="11"/>
  <c r="D37" i="11"/>
  <c r="C37" i="11"/>
  <c r="L3" i="9"/>
  <c r="K3" i="9"/>
  <c r="J3" i="9"/>
  <c r="B23" i="11" s="1"/>
  <c r="I3" i="9"/>
  <c r="L5" i="114" l="1"/>
  <c r="L6" i="114" s="1"/>
  <c r="L7" i="114" s="1"/>
  <c r="L8" i="114" s="1"/>
  <c r="L9" i="114" s="1"/>
  <c r="L10" i="114" s="1"/>
  <c r="L11" i="114" s="1"/>
  <c r="L12" i="114" s="1"/>
  <c r="L13" i="114" s="1"/>
  <c r="L14" i="114" s="1"/>
  <c r="L15" i="114" s="1"/>
  <c r="R123" i="106"/>
  <c r="X39" i="106" s="1"/>
  <c r="U123" i="106"/>
  <c r="X41" i="106" s="1"/>
  <c r="S123" i="106"/>
  <c r="X42" i="106" s="1"/>
  <c r="D165" i="72"/>
  <c r="G152" i="72"/>
  <c r="Q3" i="72"/>
  <c r="C52" i="11"/>
  <c r="D52" i="11"/>
  <c r="L16" i="114" l="1"/>
  <c r="L18" i="114" s="1"/>
  <c r="X44" i="106"/>
  <c r="B11" i="17"/>
  <c r="I37" i="11"/>
  <c r="E12" i="73"/>
  <c r="E18" i="17" s="1"/>
  <c r="I28" i="11"/>
  <c r="I19" i="11"/>
  <c r="H42" i="11"/>
  <c r="H37" i="11"/>
  <c r="G42" i="11"/>
  <c r="G37" i="11"/>
  <c r="E10" i="73"/>
  <c r="E16" i="17" s="1"/>
  <c r="F42" i="11"/>
  <c r="F37" i="11"/>
  <c r="F9" i="73"/>
  <c r="F15" i="17" s="1"/>
  <c r="E42" i="11"/>
  <c r="E37" i="11"/>
  <c r="E8" i="73"/>
  <c r="E14" i="17" s="1"/>
  <c r="E5" i="73"/>
  <c r="E11" i="17" s="1"/>
  <c r="V21" i="73"/>
  <c r="S21" i="73"/>
  <c r="P21" i="73"/>
  <c r="M21" i="73"/>
  <c r="F5" i="73"/>
  <c r="F11" i="17" s="1"/>
  <c r="E6" i="73"/>
  <c r="E12" i="17" s="1"/>
  <c r="F6" i="73"/>
  <c r="F12" i="17" s="1"/>
  <c r="E7" i="73"/>
  <c r="E13" i="17" s="1"/>
  <c r="F7" i="73"/>
  <c r="F13" i="17" s="1"/>
  <c r="F8" i="73"/>
  <c r="F14" i="17" s="1"/>
  <c r="E9" i="73"/>
  <c r="E15" i="17" s="1"/>
  <c r="F16" i="17"/>
  <c r="F12" i="73"/>
  <c r="F18" i="17" s="1"/>
  <c r="E13" i="73"/>
  <c r="E19" i="17" s="1"/>
  <c r="E14" i="73"/>
  <c r="E20" i="17" s="1"/>
  <c r="K20" i="9" s="1"/>
  <c r="K21" i="9" s="1"/>
  <c r="K22" i="9" s="1"/>
  <c r="F14" i="73"/>
  <c r="F20" i="17" s="1"/>
  <c r="L20" i="9" s="1"/>
  <c r="L21" i="9" s="1"/>
  <c r="L22" i="9" s="1"/>
  <c r="J21" i="73"/>
  <c r="B11" i="9"/>
  <c r="F11" i="9" s="1"/>
  <c r="B10" i="9"/>
  <c r="F10" i="9" s="1"/>
  <c r="B9" i="9"/>
  <c r="F9" i="9" s="1"/>
  <c r="B7" i="9"/>
  <c r="F7" i="9" s="1"/>
  <c r="B6" i="9"/>
  <c r="F6" i="9" s="1"/>
  <c r="B5" i="9"/>
  <c r="F5" i="9" s="1"/>
  <c r="B4" i="9"/>
  <c r="F4" i="9" s="1"/>
  <c r="E35" i="17" l="1"/>
  <c r="B8" i="9"/>
  <c r="F8" i="9" s="1"/>
  <c r="G63" i="72"/>
  <c r="F28" i="17"/>
  <c r="E34" i="17"/>
  <c r="F31" i="17"/>
  <c r="F30" i="17"/>
  <c r="E29" i="17"/>
  <c r="E30" i="17"/>
  <c r="E28" i="17"/>
  <c r="J28" i="11"/>
  <c r="E31" i="17"/>
  <c r="J37" i="11"/>
  <c r="F29" i="17"/>
  <c r="J19" i="11"/>
  <c r="I15" i="11"/>
  <c r="J15" i="11"/>
  <c r="I32" i="11"/>
  <c r="I42" i="11"/>
  <c r="F13" i="73"/>
  <c r="F19" i="17" s="1"/>
  <c r="F35" i="17" s="1"/>
  <c r="B3" i="9"/>
  <c r="F11" i="73"/>
  <c r="F17" i="17" s="1"/>
  <c r="B8" i="73"/>
  <c r="B14" i="17" s="1"/>
  <c r="E11" i="73"/>
  <c r="E17" i="17" s="1"/>
  <c r="E33" i="17" l="1"/>
  <c r="F33" i="17"/>
  <c r="F34" i="17"/>
  <c r="J42" i="11"/>
  <c r="J32" i="11"/>
  <c r="F32" i="17"/>
  <c r="J23" i="11"/>
  <c r="E32" i="17"/>
  <c r="I23" i="11"/>
  <c r="I48" i="11" s="1"/>
  <c r="I136" i="72"/>
  <c r="I137" i="72"/>
  <c r="I138" i="72"/>
  <c r="I139" i="72"/>
  <c r="I140" i="72"/>
  <c r="I141" i="72"/>
  <c r="I142" i="72"/>
  <c r="I143" i="72"/>
  <c r="I144" i="72"/>
  <c r="I145" i="72"/>
  <c r="I146" i="72"/>
  <c r="I135" i="72"/>
  <c r="J48" i="11" l="1"/>
  <c r="Q25" i="72"/>
  <c r="R25" i="72" s="1"/>
  <c r="S25" i="72" s="1"/>
  <c r="Q33" i="72"/>
  <c r="Q41" i="72"/>
  <c r="T41" i="72" s="1"/>
  <c r="Q49" i="72"/>
  <c r="R49" i="72" s="1"/>
  <c r="S49" i="72" s="1"/>
  <c r="Q57" i="72"/>
  <c r="T57" i="72" s="1"/>
  <c r="Q10" i="72"/>
  <c r="T10" i="72" s="1"/>
  <c r="Q18" i="72"/>
  <c r="T18" i="72" s="1"/>
  <c r="Q26" i="72"/>
  <c r="R26" i="72" s="1"/>
  <c r="S26" i="72" s="1"/>
  <c r="Q50" i="72"/>
  <c r="Q58" i="72"/>
  <c r="T58" i="72" s="1"/>
  <c r="Q13" i="72"/>
  <c r="Q29" i="72"/>
  <c r="R29" i="72" s="1"/>
  <c r="S29" i="72" s="1"/>
  <c r="Q37" i="72"/>
  <c r="R37" i="72" s="1"/>
  <c r="S37" i="72" s="1"/>
  <c r="T14" i="72"/>
  <c r="Q30" i="72"/>
  <c r="T30" i="72" s="1"/>
  <c r="Q46" i="72"/>
  <c r="T46" i="72" s="1"/>
  <c r="Q62" i="72"/>
  <c r="R62" i="72" s="1"/>
  <c r="S62" i="72" s="1"/>
  <c r="Q15" i="72"/>
  <c r="Q31" i="72"/>
  <c r="T31" i="72" s="1"/>
  <c r="Q47" i="72"/>
  <c r="Q16" i="72"/>
  <c r="Q40" i="72"/>
  <c r="T40" i="72" s="1"/>
  <c r="Q5" i="72"/>
  <c r="R5" i="72" s="1"/>
  <c r="S5" i="72" s="1"/>
  <c r="Q45" i="72"/>
  <c r="T45" i="72" s="1"/>
  <c r="Q7" i="72"/>
  <c r="R7" i="72" s="1"/>
  <c r="S7" i="72" s="1"/>
  <c r="Q39" i="72"/>
  <c r="R39" i="72" s="1"/>
  <c r="S39" i="72" s="1"/>
  <c r="Q56" i="72"/>
  <c r="T56" i="72" s="1"/>
  <c r="Q11" i="72"/>
  <c r="R11" i="72" s="1"/>
  <c r="S11" i="72" s="1"/>
  <c r="Q19" i="72"/>
  <c r="R19" i="72" s="1"/>
  <c r="S19" i="72" s="1"/>
  <c r="Q27" i="72"/>
  <c r="Q35" i="72"/>
  <c r="T35" i="72" s="1"/>
  <c r="Q51" i="72"/>
  <c r="R51" i="72" s="1"/>
  <c r="S51" i="72" s="1"/>
  <c r="Q59" i="72"/>
  <c r="T59" i="72" s="1"/>
  <c r="Q4" i="72"/>
  <c r="R4" i="72" s="1"/>
  <c r="S4" i="72" s="1"/>
  <c r="Q12" i="72"/>
  <c r="T12" i="72" s="1"/>
  <c r="Q44" i="72"/>
  <c r="R44" i="72" s="1"/>
  <c r="S44" i="72" s="1"/>
  <c r="Q52" i="72"/>
  <c r="Q21" i="72"/>
  <c r="R21" i="72" s="1"/>
  <c r="S21" i="72" s="1"/>
  <c r="Q53" i="72"/>
  <c r="R53" i="72" s="1"/>
  <c r="S53" i="72" s="1"/>
  <c r="Q6" i="72"/>
  <c r="Q22" i="72"/>
  <c r="Q38" i="72"/>
  <c r="T38" i="72" s="1"/>
  <c r="Q54" i="72"/>
  <c r="R54" i="72" s="1"/>
  <c r="S54" i="72" s="1"/>
  <c r="Q23" i="72"/>
  <c r="R23" i="72" s="1"/>
  <c r="S23" i="72" s="1"/>
  <c r="Q55" i="72"/>
  <c r="R55" i="72" s="1"/>
  <c r="S55" i="72" s="1"/>
  <c r="Q8" i="72"/>
  <c r="T8" i="72" s="1"/>
  <c r="Q24" i="72"/>
  <c r="T24" i="72" s="1"/>
  <c r="Q32" i="72"/>
  <c r="T32" i="72" s="1"/>
  <c r="Q48" i="72"/>
  <c r="Q20" i="72"/>
  <c r="T20" i="72" s="1"/>
  <c r="Q28" i="72"/>
  <c r="Q36" i="72"/>
  <c r="R36" i="72" s="1"/>
  <c r="S36" i="72" s="1"/>
  <c r="Q60" i="72"/>
  <c r="Q9" i="72"/>
  <c r="Q61" i="72"/>
  <c r="R61" i="72" s="1"/>
  <c r="S61" i="72" s="1"/>
  <c r="Q17" i="72"/>
  <c r="Q34" i="72"/>
  <c r="T34" i="72" s="1"/>
  <c r="Q42" i="72"/>
  <c r="R42" i="72" s="1"/>
  <c r="S42" i="72" s="1"/>
  <c r="Q43" i="72"/>
  <c r="J52" i="11"/>
  <c r="I52" i="11"/>
  <c r="G99" i="72"/>
  <c r="G100" i="72"/>
  <c r="G101" i="72"/>
  <c r="G102" i="72"/>
  <c r="G103" i="72"/>
  <c r="G104" i="72"/>
  <c r="G105" i="72"/>
  <c r="G106" i="72"/>
  <c r="G107" i="72"/>
  <c r="G108" i="72"/>
  <c r="G109" i="72"/>
  <c r="G110" i="72"/>
  <c r="G111" i="72"/>
  <c r="G112" i="72"/>
  <c r="G113" i="72"/>
  <c r="G114" i="72"/>
  <c r="G115" i="72"/>
  <c r="G116" i="72"/>
  <c r="G117" i="72"/>
  <c r="G118" i="72"/>
  <c r="G119" i="72"/>
  <c r="G120" i="72"/>
  <c r="G121" i="72"/>
  <c r="Q121" i="72" s="1"/>
  <c r="G122" i="72"/>
  <c r="Q122" i="72" s="1"/>
  <c r="G160" i="72" l="1"/>
  <c r="T122" i="72"/>
  <c r="U122" i="72"/>
  <c r="V122" i="72" s="1"/>
  <c r="R122" i="72"/>
  <c r="S122" i="72" s="1"/>
  <c r="G161" i="72"/>
  <c r="Q111" i="72"/>
  <c r="L123" i="106"/>
  <c r="O123" i="106" s="1"/>
  <c r="I65" i="11"/>
  <c r="H138" i="72"/>
  <c r="H144" i="72"/>
  <c r="H146" i="72"/>
  <c r="H139" i="72"/>
  <c r="H135" i="72"/>
  <c r="H145" i="72"/>
  <c r="H136" i="72"/>
  <c r="H142" i="72"/>
  <c r="H143" i="72"/>
  <c r="H137" i="72"/>
  <c r="H141" i="72"/>
  <c r="H140" i="72"/>
  <c r="Q102" i="72"/>
  <c r="T102" i="72" s="1"/>
  <c r="T19" i="72"/>
  <c r="R59" i="72"/>
  <c r="S59" i="72" s="1"/>
  <c r="R38" i="72"/>
  <c r="S38" i="72" s="1"/>
  <c r="Q103" i="72"/>
  <c r="R103" i="72" s="1"/>
  <c r="S103" i="72" s="1"/>
  <c r="T42" i="72"/>
  <c r="T39" i="72"/>
  <c r="U17" i="72"/>
  <c r="V17" i="72" s="1"/>
  <c r="T11" i="72"/>
  <c r="R35" i="72"/>
  <c r="S35" i="72" s="1"/>
  <c r="T15" i="72"/>
  <c r="R15" i="72"/>
  <c r="S15" i="72" s="1"/>
  <c r="T60" i="72"/>
  <c r="U60" i="72"/>
  <c r="V60" i="72" s="1"/>
  <c r="T25" i="72"/>
  <c r="R45" i="72"/>
  <c r="S45" i="72" s="1"/>
  <c r="Q109" i="72"/>
  <c r="T109" i="72" s="1"/>
  <c r="R30" i="72"/>
  <c r="S30" i="72" s="1"/>
  <c r="U38" i="72"/>
  <c r="V38" i="72" s="1"/>
  <c r="J65" i="11"/>
  <c r="R41" i="72"/>
  <c r="S41" i="72" s="1"/>
  <c r="U33" i="72"/>
  <c r="V33" i="72" s="1"/>
  <c r="R34" i="72"/>
  <c r="S34" i="72" s="1"/>
  <c r="T17" i="72"/>
  <c r="U56" i="72"/>
  <c r="V56" i="72" s="1"/>
  <c r="R56" i="72"/>
  <c r="S56" i="72" s="1"/>
  <c r="R17" i="72"/>
  <c r="S17" i="72" s="1"/>
  <c r="T53" i="72"/>
  <c r="U47" i="72"/>
  <c r="V47" i="72" s="1"/>
  <c r="R20" i="72"/>
  <c r="S20" i="72" s="1"/>
  <c r="R58" i="72"/>
  <c r="S58" i="72" s="1"/>
  <c r="T51" i="72"/>
  <c r="T44" i="72"/>
  <c r="U44" i="72"/>
  <c r="V44" i="72" s="1"/>
  <c r="T54" i="72"/>
  <c r="U15" i="72"/>
  <c r="V15" i="72" s="1"/>
  <c r="T62" i="72"/>
  <c r="R47" i="72"/>
  <c r="S47" i="72" s="1"/>
  <c r="T47" i="72"/>
  <c r="Q99" i="72"/>
  <c r="R99" i="72" s="1"/>
  <c r="S99" i="72" s="1"/>
  <c r="U27" i="72"/>
  <c r="V27" i="72" s="1"/>
  <c r="R12" i="72"/>
  <c r="S12" i="72" s="1"/>
  <c r="R27" i="72"/>
  <c r="S27" i="72" s="1"/>
  <c r="T7" i="72"/>
  <c r="U51" i="72"/>
  <c r="V51" i="72" s="1"/>
  <c r="R50" i="72"/>
  <c r="S50" i="72" s="1"/>
  <c r="U12" i="72"/>
  <c r="V12" i="72" s="1"/>
  <c r="R33" i="72"/>
  <c r="S33" i="72" s="1"/>
  <c r="U8" i="72"/>
  <c r="V8" i="72" s="1"/>
  <c r="T61" i="72"/>
  <c r="U52" i="72"/>
  <c r="V52" i="72" s="1"/>
  <c r="U34" i="72"/>
  <c r="V34" i="72" s="1"/>
  <c r="U42" i="72"/>
  <c r="V42" i="72" s="1"/>
  <c r="T27" i="72"/>
  <c r="U54" i="72"/>
  <c r="V54" i="72" s="1"/>
  <c r="R46" i="72"/>
  <c r="S46" i="72" s="1"/>
  <c r="U20" i="72"/>
  <c r="V20" i="72" s="1"/>
  <c r="U49" i="72"/>
  <c r="V49" i="72" s="1"/>
  <c r="U13" i="72"/>
  <c r="V13" i="72" s="1"/>
  <c r="U6" i="72"/>
  <c r="V6" i="72" s="1"/>
  <c r="U41" i="72"/>
  <c r="V41" i="72" s="1"/>
  <c r="U40" i="72"/>
  <c r="V40" i="72" s="1"/>
  <c r="T4" i="72"/>
  <c r="T33" i="72"/>
  <c r="Q110" i="72"/>
  <c r="R40" i="72"/>
  <c r="S40" i="72" s="1"/>
  <c r="T49" i="72"/>
  <c r="U28" i="72"/>
  <c r="V28" i="72" s="1"/>
  <c r="Q105" i="72"/>
  <c r="T105" i="72" s="1"/>
  <c r="Q104" i="72"/>
  <c r="T104" i="72" s="1"/>
  <c r="U46" i="72"/>
  <c r="V46" i="72" s="1"/>
  <c r="U22" i="72"/>
  <c r="V22" i="72" s="1"/>
  <c r="U43" i="72"/>
  <c r="V43" i="72" s="1"/>
  <c r="U36" i="72"/>
  <c r="V36" i="72" s="1"/>
  <c r="U18" i="72"/>
  <c r="V18" i="72" s="1"/>
  <c r="T21" i="72"/>
  <c r="Q106" i="72"/>
  <c r="R106" i="72" s="1"/>
  <c r="S106" i="72" s="1"/>
  <c r="R13" i="72"/>
  <c r="S13" i="72" s="1"/>
  <c r="U45" i="72"/>
  <c r="V45" i="72" s="1"/>
  <c r="U21" i="72"/>
  <c r="V21" i="72" s="1"/>
  <c r="U55" i="72"/>
  <c r="V55" i="72" s="1"/>
  <c r="R43" i="72"/>
  <c r="S43" i="72" s="1"/>
  <c r="T50" i="72"/>
  <c r="U14" i="72"/>
  <c r="V14" i="72" s="1"/>
  <c r="U57" i="72"/>
  <c r="V57" i="72" s="1"/>
  <c r="U30" i="72"/>
  <c r="V30" i="72" s="1"/>
  <c r="U16" i="72"/>
  <c r="V16" i="72" s="1"/>
  <c r="U39" i="72"/>
  <c r="V39" i="72" s="1"/>
  <c r="T23" i="72"/>
  <c r="R16" i="72"/>
  <c r="S16" i="72" s="1"/>
  <c r="T43" i="72"/>
  <c r="U35" i="72"/>
  <c r="V35" i="72" s="1"/>
  <c r="Q107" i="72"/>
  <c r="T107" i="72" s="1"/>
  <c r="U48" i="72"/>
  <c r="V48" i="72" s="1"/>
  <c r="U61" i="72"/>
  <c r="V61" i="72" s="1"/>
  <c r="R8" i="72"/>
  <c r="S8" i="72" s="1"/>
  <c r="T16" i="72"/>
  <c r="U58" i="72"/>
  <c r="V58" i="72" s="1"/>
  <c r="U9" i="72"/>
  <c r="V9" i="72" s="1"/>
  <c r="T22" i="72"/>
  <c r="T37" i="72"/>
  <c r="U62" i="72"/>
  <c r="V62" i="72" s="1"/>
  <c r="T28" i="72"/>
  <c r="T13" i="72"/>
  <c r="U59" i="72"/>
  <c r="V59" i="72" s="1"/>
  <c r="T48" i="72"/>
  <c r="T9" i="72"/>
  <c r="R22" i="72"/>
  <c r="S22" i="72" s="1"/>
  <c r="R6" i="72"/>
  <c r="S6" i="72" s="1"/>
  <c r="R14" i="72"/>
  <c r="S14" i="72" s="1"/>
  <c r="T26" i="72"/>
  <c r="U7" i="72"/>
  <c r="V7" i="72" s="1"/>
  <c r="U19" i="72"/>
  <c r="V19" i="72" s="1"/>
  <c r="T6" i="72"/>
  <c r="U26" i="72"/>
  <c r="V26" i="72" s="1"/>
  <c r="U32" i="72"/>
  <c r="V32" i="72" s="1"/>
  <c r="T5" i="72"/>
  <c r="Q101" i="72"/>
  <c r="R24" i="72"/>
  <c r="S24" i="72" s="1"/>
  <c r="T36" i="72"/>
  <c r="T29" i="72"/>
  <c r="R57" i="72"/>
  <c r="S57" i="72" s="1"/>
  <c r="R18" i="72"/>
  <c r="S18" i="72" s="1"/>
  <c r="T52" i="72"/>
  <c r="U23" i="72"/>
  <c r="V23" i="72" s="1"/>
  <c r="U10" i="72"/>
  <c r="V10" i="72" s="1"/>
  <c r="R31" i="72"/>
  <c r="S31" i="72" s="1"/>
  <c r="R60" i="72"/>
  <c r="S60" i="72" s="1"/>
  <c r="R32" i="72"/>
  <c r="S32" i="72" s="1"/>
  <c r="U5" i="72"/>
  <c r="V5" i="72" s="1"/>
  <c r="T55" i="72"/>
  <c r="U37" i="72"/>
  <c r="V37" i="72" s="1"/>
  <c r="R28" i="72"/>
  <c r="S28" i="72" s="1"/>
  <c r="U50" i="72"/>
  <c r="V50" i="72" s="1"/>
  <c r="R48" i="72"/>
  <c r="S48" i="72" s="1"/>
  <c r="R9" i="72"/>
  <c r="S9" i="72" s="1"/>
  <c r="U29" i="72"/>
  <c r="V29" i="72" s="1"/>
  <c r="U11" i="72"/>
  <c r="V11" i="72" s="1"/>
  <c r="R10" i="72"/>
  <c r="S10" i="72" s="1"/>
  <c r="U25" i="72"/>
  <c r="V25" i="72" s="1"/>
  <c r="U24" i="72"/>
  <c r="V24" i="72" s="1"/>
  <c r="R52" i="72"/>
  <c r="S52" i="72" s="1"/>
  <c r="U31" i="72"/>
  <c r="V31" i="72" s="1"/>
  <c r="U53" i="72"/>
  <c r="V53" i="72" s="1"/>
  <c r="Q108" i="72"/>
  <c r="T108" i="72" s="1"/>
  <c r="Q100" i="72"/>
  <c r="T100" i="72" s="1"/>
  <c r="M27" i="76"/>
  <c r="M28" i="76"/>
  <c r="M29" i="76"/>
  <c r="M30" i="76"/>
  <c r="M31" i="76"/>
  <c r="M32" i="76"/>
  <c r="M33" i="76"/>
  <c r="M34" i="76"/>
  <c r="M35" i="76"/>
  <c r="M36" i="76"/>
  <c r="M37" i="76"/>
  <c r="M38" i="76"/>
  <c r="L28" i="76"/>
  <c r="L29" i="76"/>
  <c r="L30" i="76"/>
  <c r="L31" i="76"/>
  <c r="L32" i="76"/>
  <c r="L33" i="76"/>
  <c r="L38" i="76"/>
  <c r="L27" i="76"/>
  <c r="L9" i="76"/>
  <c r="L10" i="76"/>
  <c r="L11" i="76"/>
  <c r="L12" i="76"/>
  <c r="L13" i="76"/>
  <c r="L14" i="76"/>
  <c r="L17" i="76"/>
  <c r="L19" i="76"/>
  <c r="L8" i="76"/>
  <c r="L20" i="76" s="1"/>
  <c r="M9" i="76"/>
  <c r="M10" i="76"/>
  <c r="M11" i="76"/>
  <c r="M12" i="76"/>
  <c r="M13" i="76"/>
  <c r="M14" i="76"/>
  <c r="M15" i="76"/>
  <c r="M16" i="76"/>
  <c r="M17" i="76"/>
  <c r="M18" i="76"/>
  <c r="M19" i="76"/>
  <c r="M8" i="76"/>
  <c r="M20" i="76" l="1"/>
  <c r="T152" i="72"/>
  <c r="C3" i="9" s="1"/>
  <c r="D3" i="9" s="1"/>
  <c r="E3" i="9" s="1"/>
  <c r="B5" i="11"/>
  <c r="B6" i="11" s="1"/>
  <c r="L124" i="106"/>
  <c r="O124" i="106" s="1"/>
  <c r="P124" i="106" s="1"/>
  <c r="P123" i="106"/>
  <c r="R110" i="72"/>
  <c r="S110" i="72" s="1"/>
  <c r="T110" i="72"/>
  <c r="U110" i="72"/>
  <c r="V110" i="72" s="1"/>
  <c r="T103" i="72"/>
  <c r="R102" i="72"/>
  <c r="S102" i="72" s="1"/>
  <c r="R109" i="72"/>
  <c r="S109" i="72" s="1"/>
  <c r="U103" i="72"/>
  <c r="V103" i="72" s="1"/>
  <c r="T99" i="72"/>
  <c r="U107" i="72"/>
  <c r="V107" i="72" s="1"/>
  <c r="R105" i="72"/>
  <c r="S105" i="72" s="1"/>
  <c r="U105" i="72"/>
  <c r="V105" i="72" s="1"/>
  <c r="T106" i="72"/>
  <c r="R104" i="72"/>
  <c r="S104" i="72" s="1"/>
  <c r="U104" i="72"/>
  <c r="V104" i="72" s="1"/>
  <c r="R107" i="72"/>
  <c r="S107" i="72" s="1"/>
  <c r="R100" i="72"/>
  <c r="S100" i="72" s="1"/>
  <c r="R108" i="72"/>
  <c r="S108" i="72" s="1"/>
  <c r="U106" i="72"/>
  <c r="V106" i="72" s="1"/>
  <c r="T3" i="72"/>
  <c r="U100" i="72"/>
  <c r="V100" i="72" s="1"/>
  <c r="U109" i="72"/>
  <c r="V109" i="72" s="1"/>
  <c r="U101" i="72"/>
  <c r="V101" i="72" s="1"/>
  <c r="U102" i="72"/>
  <c r="V102" i="72" s="1"/>
  <c r="U108" i="72"/>
  <c r="V108" i="72" s="1"/>
  <c r="R101" i="72"/>
  <c r="S101" i="72" s="1"/>
  <c r="T101" i="72"/>
  <c r="B20" i="76"/>
  <c r="C20" i="76"/>
  <c r="D20" i="76"/>
  <c r="E20" i="76"/>
  <c r="F20" i="76"/>
  <c r="G20" i="76"/>
  <c r="H20" i="76"/>
  <c r="I20" i="76"/>
  <c r="J20" i="76"/>
  <c r="L125" i="106" l="1"/>
  <c r="O125" i="106" s="1"/>
  <c r="U111" i="72"/>
  <c r="V111" i="72" s="1"/>
  <c r="T111" i="72"/>
  <c r="R111" i="72"/>
  <c r="S111" i="72" s="1"/>
  <c r="Q112" i="72"/>
  <c r="R3" i="72"/>
  <c r="S3" i="72" s="1"/>
  <c r="U4" i="72"/>
  <c r="V4" i="72" s="1"/>
  <c r="L126" i="106" l="1"/>
  <c r="O126" i="106" s="1"/>
  <c r="P126" i="106" s="1"/>
  <c r="P125" i="106"/>
  <c r="U112" i="72"/>
  <c r="V112" i="72" s="1"/>
  <c r="T112" i="72"/>
  <c r="R112" i="72"/>
  <c r="S112" i="72" s="1"/>
  <c r="Q113" i="72"/>
  <c r="T160" i="72"/>
  <c r="C11" i="9" s="1"/>
  <c r="D11" i="9" s="1"/>
  <c r="E11" i="9" s="1"/>
  <c r="J5" i="11"/>
  <c r="J6" i="11" s="1"/>
  <c r="Q159" i="72"/>
  <c r="U113" i="72" l="1"/>
  <c r="V113" i="72" s="1"/>
  <c r="T113" i="72"/>
  <c r="R113" i="72"/>
  <c r="S113" i="72" s="1"/>
  <c r="Q114" i="72"/>
  <c r="T159" i="72"/>
  <c r="C10" i="9" s="1"/>
  <c r="D10" i="9" s="1"/>
  <c r="E10" i="9" s="1"/>
  <c r="I5" i="11"/>
  <c r="I6" i="11" s="1"/>
  <c r="R114" i="72" l="1"/>
  <c r="S114" i="72" s="1"/>
  <c r="U114" i="72"/>
  <c r="V114" i="72" s="1"/>
  <c r="T114" i="72"/>
  <c r="Q153" i="72"/>
  <c r="Q154" i="72"/>
  <c r="Q155" i="72"/>
  <c r="Q156" i="72"/>
  <c r="Q157" i="72"/>
  <c r="Q158" i="72"/>
  <c r="Q165" i="72" l="1"/>
  <c r="T153" i="72"/>
  <c r="C5" i="11"/>
  <c r="C6" i="11" s="1"/>
  <c r="T158" i="72"/>
  <c r="C9" i="9" s="1"/>
  <c r="D9" i="9" s="1"/>
  <c r="E9" i="9" s="1"/>
  <c r="H5" i="11"/>
  <c r="H6" i="11" s="1"/>
  <c r="T156" i="72"/>
  <c r="C7" i="9" s="1"/>
  <c r="D7" i="9" s="1"/>
  <c r="E7" i="9" s="1"/>
  <c r="F5" i="11"/>
  <c r="F6" i="11" s="1"/>
  <c r="T157" i="72"/>
  <c r="C8" i="9" s="1"/>
  <c r="D8" i="9" s="1"/>
  <c r="E8" i="9" s="1"/>
  <c r="G5" i="11"/>
  <c r="G6" i="11" s="1"/>
  <c r="T155" i="72"/>
  <c r="C6" i="9" s="1"/>
  <c r="D6" i="9" s="1"/>
  <c r="E6" i="9" s="1"/>
  <c r="E5" i="11"/>
  <c r="E6" i="11" s="1"/>
  <c r="T154" i="72"/>
  <c r="C5" i="9" s="1"/>
  <c r="D5" i="9" s="1"/>
  <c r="E5" i="9" s="1"/>
  <c r="D5" i="11"/>
  <c r="D6" i="11" s="1"/>
  <c r="H13" i="73"/>
  <c r="H19" i="17" s="1"/>
  <c r="H11" i="73"/>
  <c r="H17" i="17" s="1"/>
  <c r="H9" i="73"/>
  <c r="H15" i="17" s="1"/>
  <c r="H6" i="73"/>
  <c r="H12" i="17" s="1"/>
  <c r="D14" i="73"/>
  <c r="D20" i="17" s="1"/>
  <c r="J20" i="9" s="1"/>
  <c r="J21" i="9" s="1"/>
  <c r="J22" i="9" s="1"/>
  <c r="D13" i="73"/>
  <c r="D19" i="17" s="1"/>
  <c r="D12" i="73"/>
  <c r="D18" i="17" s="1"/>
  <c r="D11" i="73"/>
  <c r="D17" i="17" s="1"/>
  <c r="D10" i="73"/>
  <c r="D16" i="17" s="1"/>
  <c r="D9" i="73"/>
  <c r="D15" i="17" s="1"/>
  <c r="D8" i="73"/>
  <c r="D14" i="17" s="1"/>
  <c r="D7" i="73"/>
  <c r="D13" i="17" s="1"/>
  <c r="D6" i="73"/>
  <c r="D12" i="17" s="1"/>
  <c r="C6" i="73"/>
  <c r="C12" i="17" s="1"/>
  <c r="D5" i="73"/>
  <c r="D11" i="17" s="1"/>
  <c r="C13" i="73"/>
  <c r="C19" i="17" s="1"/>
  <c r="C11" i="73"/>
  <c r="C17" i="17" s="1"/>
  <c r="C8" i="73"/>
  <c r="C14" i="17" s="1"/>
  <c r="C5" i="73"/>
  <c r="C11" i="17" s="1"/>
  <c r="B13" i="73"/>
  <c r="B19" i="17" s="1"/>
  <c r="B11" i="73"/>
  <c r="B17" i="17" s="1"/>
  <c r="B10" i="73"/>
  <c r="B16" i="17" s="1"/>
  <c r="B9" i="73"/>
  <c r="B15" i="17" s="1"/>
  <c r="B7" i="73"/>
  <c r="B13" i="17" s="1"/>
  <c r="B6" i="73"/>
  <c r="C14" i="73"/>
  <c r="C20" i="17" s="1"/>
  <c r="C12" i="73"/>
  <c r="C18" i="17" s="1"/>
  <c r="C10" i="73"/>
  <c r="C16" i="17" s="1"/>
  <c r="C9" i="73"/>
  <c r="C15" i="17" s="1"/>
  <c r="C7" i="73"/>
  <c r="C13" i="17" s="1"/>
  <c r="B12" i="73"/>
  <c r="B18" i="17" s="1"/>
  <c r="H14" i="73"/>
  <c r="H10" i="73"/>
  <c r="H16" i="17" s="1"/>
  <c r="H8" i="73"/>
  <c r="H14" i="17" s="1"/>
  <c r="H5" i="73"/>
  <c r="H11" i="17" s="1"/>
  <c r="G14" i="73"/>
  <c r="G20" i="17" s="1"/>
  <c r="G13" i="73"/>
  <c r="G19" i="17" s="1"/>
  <c r="G12" i="73"/>
  <c r="G18" i="17" s="1"/>
  <c r="G11" i="73"/>
  <c r="G17" i="17" s="1"/>
  <c r="G10" i="73"/>
  <c r="G16" i="17" s="1"/>
  <c r="G9" i="73"/>
  <c r="G15" i="17" s="1"/>
  <c r="G8" i="73"/>
  <c r="G14" i="17" s="1"/>
  <c r="G7" i="73"/>
  <c r="G13" i="17" s="1"/>
  <c r="G6" i="73"/>
  <c r="G12" i="17" s="1"/>
  <c r="H12" i="73"/>
  <c r="H18" i="17" s="1"/>
  <c r="H7" i="73"/>
  <c r="H13" i="17" s="1"/>
  <c r="G5" i="73"/>
  <c r="G11" i="17" s="1"/>
  <c r="M20" i="9" l="1"/>
  <c r="M21" i="9" s="1"/>
  <c r="M22" i="9" s="1"/>
  <c r="G35" i="17"/>
  <c r="D35" i="17"/>
  <c r="C35" i="17"/>
  <c r="I20" i="9"/>
  <c r="I21" i="9" s="1"/>
  <c r="I22" i="9" s="1"/>
  <c r="I20" i="17"/>
  <c r="K51" i="11" s="1"/>
  <c r="I15" i="17"/>
  <c r="F51" i="11" s="1"/>
  <c r="I16" i="17"/>
  <c r="G51" i="11" s="1"/>
  <c r="I14" i="17"/>
  <c r="E51" i="11" s="1"/>
  <c r="B12" i="17"/>
  <c r="B28" i="17" s="1"/>
  <c r="I13" i="17"/>
  <c r="D51" i="11" s="1"/>
  <c r="K13" i="17"/>
  <c r="I11" i="17"/>
  <c r="K11" i="17"/>
  <c r="I18" i="17"/>
  <c r="I51" i="11" s="1"/>
  <c r="I17" i="17"/>
  <c r="H51" i="11" s="1"/>
  <c r="I19" i="17"/>
  <c r="J51" i="11" s="1"/>
  <c r="B35" i="17"/>
  <c r="B34" i="17"/>
  <c r="K19" i="17"/>
  <c r="K16" i="17"/>
  <c r="K14" i="17"/>
  <c r="K18" i="17"/>
  <c r="K17" i="17"/>
  <c r="B30" i="17"/>
  <c r="K15" i="17"/>
  <c r="B33" i="17"/>
  <c r="G29" i="17"/>
  <c r="D29" i="17"/>
  <c r="G28" i="17"/>
  <c r="D28" i="17"/>
  <c r="H29" i="17"/>
  <c r="H28" i="17"/>
  <c r="B29" i="17"/>
  <c r="C4" i="9"/>
  <c r="D4" i="9" s="1"/>
  <c r="E4" i="9" s="1"/>
  <c r="H31" i="17"/>
  <c r="D30" i="17"/>
  <c r="B31" i="17"/>
  <c r="B32" i="17"/>
  <c r="H32" i="17"/>
  <c r="C32" i="17"/>
  <c r="D32" i="17"/>
  <c r="D33" i="17"/>
  <c r="G30" i="17"/>
  <c r="G31" i="17"/>
  <c r="H34" i="17"/>
  <c r="C34" i="17"/>
  <c r="H33" i="17"/>
  <c r="G34" i="17"/>
  <c r="C28" i="17"/>
  <c r="D34" i="17"/>
  <c r="C30" i="17"/>
  <c r="C33" i="17"/>
  <c r="H30" i="17"/>
  <c r="C29" i="17"/>
  <c r="D31" i="17"/>
  <c r="G32" i="17"/>
  <c r="G33" i="17"/>
  <c r="C31" i="17"/>
  <c r="I39" i="76"/>
  <c r="G39" i="76"/>
  <c r="K39" i="76"/>
  <c r="C39" i="76"/>
  <c r="D39" i="76"/>
  <c r="J39" i="76"/>
  <c r="E39" i="76"/>
  <c r="F39" i="76"/>
  <c r="H39" i="76"/>
  <c r="B39" i="76"/>
  <c r="H40" i="17" l="1"/>
  <c r="I12" i="17"/>
  <c r="C51" i="11" s="1"/>
  <c r="K12" i="17"/>
  <c r="B27" i="17"/>
  <c r="J2" i="9"/>
  <c r="I2" i="9"/>
  <c r="H2" i="9"/>
  <c r="B38" i="17" l="1"/>
  <c r="B21" i="17" s="1"/>
  <c r="E2" i="17"/>
  <c r="A26" i="11"/>
  <c r="F2" i="17"/>
  <c r="C1" i="18" s="1"/>
  <c r="A30" i="11"/>
  <c r="H27" i="9" l="1"/>
  <c r="H37" i="9" s="1"/>
  <c r="B22" i="17"/>
  <c r="B27" i="11"/>
  <c r="B31" i="11"/>
  <c r="H28" i="9" l="1"/>
  <c r="G32" i="11"/>
  <c r="B28" i="11"/>
  <c r="F31" i="11"/>
  <c r="C28" i="11"/>
  <c r="H32" i="11"/>
  <c r="G31" i="11"/>
  <c r="C27" i="11"/>
  <c r="E27" i="17"/>
  <c r="D28" i="11"/>
  <c r="F27" i="17"/>
  <c r="C31" i="11"/>
  <c r="D31" i="11"/>
  <c r="C32" i="11"/>
  <c r="D27" i="11"/>
  <c r="D32" i="11"/>
  <c r="E28" i="11"/>
  <c r="E31" i="11"/>
  <c r="E27" i="11"/>
  <c r="F32" i="11"/>
  <c r="G28" i="11"/>
  <c r="D27" i="17"/>
  <c r="F27" i="11"/>
  <c r="H28" i="11"/>
  <c r="B32" i="11"/>
  <c r="E32" i="11"/>
  <c r="G27" i="11"/>
  <c r="F28" i="11"/>
  <c r="H31" i="11"/>
  <c r="H27" i="11"/>
  <c r="H21" i="73"/>
  <c r="F21" i="73"/>
  <c r="H38" i="9" l="1"/>
  <c r="I31" i="11"/>
  <c r="I27" i="11"/>
  <c r="Q63" i="72" l="1"/>
  <c r="G64" i="72"/>
  <c r="G65" i="72"/>
  <c r="Q65" i="72" s="1"/>
  <c r="G66" i="72"/>
  <c r="Q66" i="72" s="1"/>
  <c r="G67" i="72"/>
  <c r="Q67" i="72" s="1"/>
  <c r="G68" i="72"/>
  <c r="Q68" i="72" s="1"/>
  <c r="G69" i="72"/>
  <c r="Q69" i="72" s="1"/>
  <c r="G70" i="72"/>
  <c r="Q70" i="72" s="1"/>
  <c r="G71" i="72"/>
  <c r="Q71" i="72" s="1"/>
  <c r="G72" i="72"/>
  <c r="Q72" i="72" s="1"/>
  <c r="G73" i="72"/>
  <c r="Q73" i="72" s="1"/>
  <c r="G74" i="72"/>
  <c r="Q74" i="72" s="1"/>
  <c r="G75" i="72"/>
  <c r="G76" i="72"/>
  <c r="Q76" i="72" s="1"/>
  <c r="G77" i="72"/>
  <c r="Q77" i="72" s="1"/>
  <c r="G78" i="72"/>
  <c r="Q78" i="72" s="1"/>
  <c r="G79" i="72"/>
  <c r="Q79" i="72" s="1"/>
  <c r="G80" i="72"/>
  <c r="Q80" i="72" s="1"/>
  <c r="G81" i="72"/>
  <c r="Q81" i="72" s="1"/>
  <c r="G82" i="72"/>
  <c r="Q82" i="72" s="1"/>
  <c r="G83" i="72"/>
  <c r="Q83" i="72" s="1"/>
  <c r="G84" i="72"/>
  <c r="Q84" i="72" s="1"/>
  <c r="G85" i="72"/>
  <c r="Q85" i="72" s="1"/>
  <c r="G86" i="72"/>
  <c r="Q86" i="72" s="1"/>
  <c r="G87" i="72"/>
  <c r="G88" i="72"/>
  <c r="Q88" i="72" s="1"/>
  <c r="G89" i="72"/>
  <c r="Q89" i="72" s="1"/>
  <c r="G90" i="72"/>
  <c r="Q90" i="72" s="1"/>
  <c r="G91" i="72"/>
  <c r="Q91" i="72" s="1"/>
  <c r="G92" i="72"/>
  <c r="Q92" i="72" s="1"/>
  <c r="G93" i="72"/>
  <c r="Q93" i="72" s="1"/>
  <c r="G94" i="72"/>
  <c r="Q94" i="72" s="1"/>
  <c r="G95" i="72"/>
  <c r="Q95" i="72" s="1"/>
  <c r="G96" i="72"/>
  <c r="Q96" i="72" s="1"/>
  <c r="G97" i="72"/>
  <c r="Q97" i="72" s="1"/>
  <c r="Q64" i="72" l="1"/>
  <c r="U65" i="72" s="1"/>
  <c r="V65" i="72" s="1"/>
  <c r="G157" i="72"/>
  <c r="G158" i="72"/>
  <c r="Q87" i="72"/>
  <c r="R87" i="72" s="1"/>
  <c r="S87" i="72" s="1"/>
  <c r="R69" i="72"/>
  <c r="S69" i="72" s="1"/>
  <c r="U69" i="72"/>
  <c r="V69" i="72" s="1"/>
  <c r="T69" i="72"/>
  <c r="U85" i="72"/>
  <c r="V85" i="72" s="1"/>
  <c r="T85" i="72"/>
  <c r="R85" i="72"/>
  <c r="S85" i="72" s="1"/>
  <c r="R68" i="72"/>
  <c r="S68" i="72" s="1"/>
  <c r="T68" i="72"/>
  <c r="U68" i="72"/>
  <c r="V68" i="72" s="1"/>
  <c r="U67" i="72"/>
  <c r="V67" i="72" s="1"/>
  <c r="R67" i="72"/>
  <c r="S67" i="72" s="1"/>
  <c r="T67" i="72"/>
  <c r="U66" i="72"/>
  <c r="V66" i="72" s="1"/>
  <c r="T66" i="72"/>
  <c r="R66" i="72"/>
  <c r="S66" i="72" s="1"/>
  <c r="R81" i="72"/>
  <c r="S81" i="72" s="1"/>
  <c r="U81" i="72"/>
  <c r="V81" i="72" s="1"/>
  <c r="T81" i="72"/>
  <c r="U73" i="72"/>
  <c r="V73" i="72" s="1"/>
  <c r="T73" i="72"/>
  <c r="R73" i="72"/>
  <c r="S73" i="72" s="1"/>
  <c r="R65" i="72"/>
  <c r="S65" i="72" s="1"/>
  <c r="T65" i="72"/>
  <c r="T84" i="72"/>
  <c r="R84" i="72"/>
  <c r="S84" i="72" s="1"/>
  <c r="U84" i="72"/>
  <c r="V84" i="72" s="1"/>
  <c r="U91" i="72"/>
  <c r="V91" i="72" s="1"/>
  <c r="R91" i="72"/>
  <c r="S91" i="72" s="1"/>
  <c r="T91" i="72"/>
  <c r="T90" i="72"/>
  <c r="R90" i="72"/>
  <c r="S90" i="72" s="1"/>
  <c r="U90" i="72"/>
  <c r="V90" i="72" s="1"/>
  <c r="R88" i="72"/>
  <c r="S88" i="72" s="1"/>
  <c r="T88" i="72"/>
  <c r="T80" i="72"/>
  <c r="R80" i="72"/>
  <c r="S80" i="72" s="1"/>
  <c r="U80" i="72"/>
  <c r="V80" i="72" s="1"/>
  <c r="R72" i="72"/>
  <c r="S72" i="72" s="1"/>
  <c r="U72" i="72"/>
  <c r="V72" i="72" s="1"/>
  <c r="T72" i="72"/>
  <c r="T77" i="72"/>
  <c r="U77" i="72"/>
  <c r="V77" i="72" s="1"/>
  <c r="R77" i="72"/>
  <c r="S77" i="72" s="1"/>
  <c r="T92" i="72"/>
  <c r="R92" i="72"/>
  <c r="S92" i="72" s="1"/>
  <c r="U92" i="72"/>
  <c r="V92" i="72" s="1"/>
  <c r="Q75" i="72"/>
  <c r="U76" i="72" s="1"/>
  <c r="V76" i="72" s="1"/>
  <c r="U82" i="72"/>
  <c r="V82" i="72" s="1"/>
  <c r="T82" i="72"/>
  <c r="R82" i="72"/>
  <c r="S82" i="72" s="1"/>
  <c r="U97" i="72"/>
  <c r="V97" i="72" s="1"/>
  <c r="T97" i="72"/>
  <c r="R97" i="72"/>
  <c r="S97" i="72" s="1"/>
  <c r="T79" i="72"/>
  <c r="R79" i="72"/>
  <c r="S79" i="72" s="1"/>
  <c r="U79" i="72"/>
  <c r="V79" i="72" s="1"/>
  <c r="R71" i="72"/>
  <c r="S71" i="72" s="1"/>
  <c r="U71" i="72"/>
  <c r="V71" i="72" s="1"/>
  <c r="T71" i="72"/>
  <c r="T63" i="72"/>
  <c r="R63" i="72"/>
  <c r="S63" i="72" s="1"/>
  <c r="U63" i="72"/>
  <c r="V63" i="72" s="1"/>
  <c r="R93" i="72"/>
  <c r="S93" i="72" s="1"/>
  <c r="T93" i="72"/>
  <c r="U93" i="72"/>
  <c r="V93" i="72" s="1"/>
  <c r="R76" i="72"/>
  <c r="S76" i="72" s="1"/>
  <c r="T76" i="72"/>
  <c r="R83" i="72"/>
  <c r="S83" i="72" s="1"/>
  <c r="U83" i="72"/>
  <c r="V83" i="72" s="1"/>
  <c r="T83" i="72"/>
  <c r="U74" i="72"/>
  <c r="V74" i="72" s="1"/>
  <c r="T74" i="72"/>
  <c r="R74" i="72"/>
  <c r="S74" i="72" s="1"/>
  <c r="R89" i="72"/>
  <c r="S89" i="72" s="1"/>
  <c r="U89" i="72"/>
  <c r="V89" i="72" s="1"/>
  <c r="T89" i="72"/>
  <c r="R96" i="72"/>
  <c r="S96" i="72" s="1"/>
  <c r="T96" i="72"/>
  <c r="U96" i="72"/>
  <c r="V96" i="72" s="1"/>
  <c r="R95" i="72"/>
  <c r="S95" i="72" s="1"/>
  <c r="U95" i="72"/>
  <c r="V95" i="72" s="1"/>
  <c r="T95" i="72"/>
  <c r="U94" i="72"/>
  <c r="V94" i="72" s="1"/>
  <c r="T94" i="72"/>
  <c r="R94" i="72"/>
  <c r="S94" i="72" s="1"/>
  <c r="T86" i="72"/>
  <c r="R86" i="72"/>
  <c r="S86" i="72" s="1"/>
  <c r="U86" i="72"/>
  <c r="V86" i="72" s="1"/>
  <c r="R78" i="72"/>
  <c r="S78" i="72" s="1"/>
  <c r="U78" i="72"/>
  <c r="V78" i="72" s="1"/>
  <c r="T78" i="72"/>
  <c r="R70" i="72"/>
  <c r="S70" i="72" s="1"/>
  <c r="U70" i="72"/>
  <c r="V70" i="72" s="1"/>
  <c r="T70" i="72"/>
  <c r="G98" i="72"/>
  <c r="Q98" i="72" s="1"/>
  <c r="P16" i="17"/>
  <c r="U88" i="72" l="1"/>
  <c r="V88" i="72" s="1"/>
  <c r="T87" i="72"/>
  <c r="T64" i="72"/>
  <c r="U64" i="72"/>
  <c r="V64" i="72" s="1"/>
  <c r="R64" i="72"/>
  <c r="S64" i="72" s="1"/>
  <c r="G159" i="72"/>
  <c r="G165" i="72" s="1"/>
  <c r="Q166" i="72" s="1"/>
  <c r="U87" i="72"/>
  <c r="V87" i="72" s="1"/>
  <c r="L127" i="106"/>
  <c r="O127" i="106" s="1"/>
  <c r="U98" i="72"/>
  <c r="V98" i="72" s="1"/>
  <c r="T98" i="72"/>
  <c r="R98" i="72"/>
  <c r="S98" i="72" s="1"/>
  <c r="U99" i="72"/>
  <c r="V99" i="72" s="1"/>
  <c r="R75" i="72"/>
  <c r="S75" i="72" s="1"/>
  <c r="U75" i="72"/>
  <c r="V75" i="72" s="1"/>
  <c r="T75" i="72"/>
  <c r="P17" i="17"/>
  <c r="L128" i="106" l="1"/>
  <c r="O128" i="106" s="1"/>
  <c r="P128" i="106" s="1"/>
  <c r="P127" i="106"/>
  <c r="P18" i="17"/>
  <c r="Q115" i="72"/>
  <c r="G27" i="17"/>
  <c r="H27" i="17"/>
  <c r="C27" i="17"/>
  <c r="L129" i="106" l="1"/>
  <c r="O129" i="106" s="1"/>
  <c r="U115" i="72"/>
  <c r="V115" i="72" s="1"/>
  <c r="T115" i="72"/>
  <c r="R115" i="72"/>
  <c r="S115" i="72" s="1"/>
  <c r="Q116" i="72"/>
  <c r="P19" i="17"/>
  <c r="B51" i="11"/>
  <c r="A7" i="18"/>
  <c r="A8" i="18"/>
  <c r="A9" i="18"/>
  <c r="A10" i="18"/>
  <c r="A2" i="18"/>
  <c r="B2" i="18" s="1"/>
  <c r="A3" i="18"/>
  <c r="A4" i="18"/>
  <c r="A5" i="18"/>
  <c r="A6" i="18"/>
  <c r="C25" i="18" l="1"/>
  <c r="F11" i="18"/>
  <c r="B16" i="18"/>
  <c r="B24" i="11"/>
  <c r="L130" i="106"/>
  <c r="O130" i="106" s="1"/>
  <c r="P130" i="106" s="1"/>
  <c r="P129" i="106"/>
  <c r="U116" i="72"/>
  <c r="V116" i="72" s="1"/>
  <c r="T116" i="72"/>
  <c r="R116" i="72"/>
  <c r="S116" i="72" s="1"/>
  <c r="D10" i="18"/>
  <c r="B10" i="18"/>
  <c r="D5" i="18"/>
  <c r="B5" i="18"/>
  <c r="D7" i="18"/>
  <c r="B7" i="18"/>
  <c r="D6" i="18"/>
  <c r="B6" i="18"/>
  <c r="D9" i="18"/>
  <c r="B9" i="18"/>
  <c r="D4" i="18"/>
  <c r="B4" i="18"/>
  <c r="D2" i="18"/>
  <c r="D8" i="18"/>
  <c r="B8" i="18"/>
  <c r="D3" i="18"/>
  <c r="B3" i="18"/>
  <c r="Q117" i="72"/>
  <c r="P20" i="17"/>
  <c r="C10" i="18"/>
  <c r="E10" i="18"/>
  <c r="E9" i="18"/>
  <c r="C9" i="18"/>
  <c r="C7" i="18"/>
  <c r="C5" i="18"/>
  <c r="C4" i="18"/>
  <c r="C2" i="18"/>
  <c r="C6" i="18"/>
  <c r="C3" i="18"/>
  <c r="C8" i="18"/>
  <c r="A22" i="18"/>
  <c r="A21" i="18"/>
  <c r="E6" i="18"/>
  <c r="E5" i="18"/>
  <c r="E4" i="18"/>
  <c r="E3" i="18"/>
  <c r="E8" i="18"/>
  <c r="E2" i="18"/>
  <c r="E7" i="18"/>
  <c r="A20" i="18"/>
  <c r="A19" i="18"/>
  <c r="A18" i="18"/>
  <c r="A17" i="18"/>
  <c r="A16" i="18"/>
  <c r="C16" i="18" l="1"/>
  <c r="C19" i="18"/>
  <c r="C23" i="18"/>
  <c r="F7" i="18"/>
  <c r="B21" i="18"/>
  <c r="C20" i="18"/>
  <c r="C18" i="18"/>
  <c r="E22" i="18"/>
  <c r="E23" i="18"/>
  <c r="E18" i="18"/>
  <c r="E19" i="18"/>
  <c r="D21" i="18"/>
  <c r="B19" i="18"/>
  <c r="F5" i="18"/>
  <c r="B18" i="18"/>
  <c r="F4" i="18"/>
  <c r="C21" i="18"/>
  <c r="E17" i="18"/>
  <c r="D20" i="18"/>
  <c r="E20" i="18"/>
  <c r="F3" i="18"/>
  <c r="B17" i="18"/>
  <c r="D19" i="18"/>
  <c r="D18" i="18"/>
  <c r="D23" i="18"/>
  <c r="E24" i="18"/>
  <c r="C22" i="18"/>
  <c r="D17" i="18"/>
  <c r="F10" i="18"/>
  <c r="B24" i="18"/>
  <c r="F2" i="18"/>
  <c r="D22" i="18"/>
  <c r="E21" i="18"/>
  <c r="F9" i="18"/>
  <c r="B23" i="18"/>
  <c r="B20" i="18"/>
  <c r="F6" i="18"/>
  <c r="C24" i="18"/>
  <c r="C17" i="18"/>
  <c r="F8" i="18"/>
  <c r="B22" i="18"/>
  <c r="D24" i="18"/>
  <c r="B38" i="11"/>
  <c r="L131" i="106"/>
  <c r="O131" i="106" s="1"/>
  <c r="U117" i="72"/>
  <c r="V117" i="72" s="1"/>
  <c r="T117" i="72"/>
  <c r="R117" i="72"/>
  <c r="S117" i="72" s="1"/>
  <c r="E38" i="11"/>
  <c r="D38" i="11"/>
  <c r="F38" i="11"/>
  <c r="G38" i="11"/>
  <c r="H38" i="11"/>
  <c r="I38" i="11"/>
  <c r="J38" i="11"/>
  <c r="C38" i="11"/>
  <c r="Q118" i="72"/>
  <c r="P21" i="17"/>
  <c r="H33" i="11"/>
  <c r="F33" i="11"/>
  <c r="E33" i="11"/>
  <c r="D33" i="11"/>
  <c r="B33" i="11"/>
  <c r="C33" i="11"/>
  <c r="G33" i="11"/>
  <c r="B29" i="18" l="1"/>
  <c r="B27" i="18" s="1"/>
  <c r="C29" i="18"/>
  <c r="C27" i="18" s="1"/>
  <c r="L132" i="106"/>
  <c r="O132" i="106" s="1"/>
  <c r="P132" i="106" s="1"/>
  <c r="P131" i="106"/>
  <c r="U118" i="72"/>
  <c r="V118" i="72" s="1"/>
  <c r="T118" i="72"/>
  <c r="R118" i="72"/>
  <c r="S118" i="72" s="1"/>
  <c r="Q119" i="72"/>
  <c r="P22" i="17"/>
  <c r="P23" i="17" l="1"/>
  <c r="L123" i="72" s="1" a="1"/>
  <c r="L133" i="106"/>
  <c r="O133" i="106" s="1"/>
  <c r="P133" i="106" s="1"/>
  <c r="T119" i="72"/>
  <c r="U119" i="72"/>
  <c r="V119" i="72" s="1"/>
  <c r="R119" i="72"/>
  <c r="S119" i="72" s="1"/>
  <c r="Q120" i="72"/>
  <c r="L123" i="72" l="1"/>
  <c r="P123" i="72" s="1"/>
  <c r="P134" i="72"/>
  <c r="P128" i="72"/>
  <c r="Q128" i="72" s="1"/>
  <c r="P132" i="72"/>
  <c r="Q132" i="72" s="1"/>
  <c r="P127" i="72"/>
  <c r="Q127" i="72" s="1"/>
  <c r="P131" i="72"/>
  <c r="Q131" i="72" s="1"/>
  <c r="P125" i="72"/>
  <c r="Q125" i="72" s="1"/>
  <c r="P130" i="72"/>
  <c r="Q130" i="72" s="1"/>
  <c r="P126" i="72"/>
  <c r="Q126" i="72" s="1"/>
  <c r="P124" i="72"/>
  <c r="Q124" i="72" s="1"/>
  <c r="P133" i="72"/>
  <c r="Q133" i="72" s="1"/>
  <c r="P129" i="72"/>
  <c r="Q129" i="72" s="1"/>
  <c r="Q12" i="17"/>
  <c r="L134" i="106"/>
  <c r="O134" i="106" s="1"/>
  <c r="R120" i="72"/>
  <c r="S120" i="72" s="1"/>
  <c r="U120" i="72"/>
  <c r="V120" i="72" s="1"/>
  <c r="T120" i="72"/>
  <c r="P24" i="17"/>
  <c r="Q162" i="72" l="1"/>
  <c r="Q123" i="72"/>
  <c r="Q134" i="72"/>
  <c r="Q13" i="17"/>
  <c r="P134" i="106"/>
  <c r="P162" i="106"/>
  <c r="T121" i="72"/>
  <c r="T123" i="72" s="1"/>
  <c r="R121" i="72"/>
  <c r="S121" i="72" s="1"/>
  <c r="U121" i="72"/>
  <c r="V121" i="72" s="1"/>
  <c r="V123" i="72" s="1"/>
  <c r="S123" i="72" l="1"/>
  <c r="Y39" i="72" s="1"/>
  <c r="S162" i="106"/>
  <c r="K5" i="11"/>
  <c r="K6" i="11" s="1"/>
  <c r="Q14" i="17"/>
  <c r="H43" i="11"/>
  <c r="G53" i="11"/>
  <c r="G24" i="11"/>
  <c r="G43" i="11"/>
  <c r="H24" i="11"/>
  <c r="H53" i="11"/>
  <c r="H49" i="11" l="1"/>
  <c r="H66" i="11" s="1"/>
  <c r="G49" i="11"/>
  <c r="G66" i="11" s="1"/>
  <c r="T161" i="72"/>
  <c r="T165" i="72" s="1"/>
  <c r="T166" i="72" s="1"/>
  <c r="Q15" i="17"/>
  <c r="C12" i="9" l="1"/>
  <c r="D12" i="9" s="1"/>
  <c r="E12" i="9" s="1"/>
  <c r="Q16" i="17"/>
  <c r="G14" i="11"/>
  <c r="F14" i="11"/>
  <c r="E14" i="11"/>
  <c r="D14" i="11"/>
  <c r="C14" i="11"/>
  <c r="B14" i="11"/>
  <c r="Q17" i="17" l="1"/>
  <c r="H14" i="11"/>
  <c r="Q18" i="17" l="1"/>
  <c r="A26" i="17"/>
  <c r="A27" i="17"/>
  <c r="A28" i="17"/>
  <c r="A29" i="17"/>
  <c r="A30" i="17"/>
  <c r="A31" i="17"/>
  <c r="A32" i="17"/>
  <c r="Q19" i="17" l="1"/>
  <c r="Q20" i="17" l="1"/>
  <c r="Q21" i="17" l="1"/>
  <c r="H57" i="11"/>
  <c r="H58" i="11"/>
  <c r="H59" i="11"/>
  <c r="H60" i="11"/>
  <c r="H61" i="11"/>
  <c r="H62" i="11"/>
  <c r="Q22" i="17" l="1"/>
  <c r="B53" i="11"/>
  <c r="C53" i="11"/>
  <c r="D53" i="11"/>
  <c r="E53" i="11"/>
  <c r="F53" i="11"/>
  <c r="Q23" i="17" l="1"/>
  <c r="H10" i="17"/>
  <c r="Q24" i="17" l="1"/>
  <c r="L135" i="72" a="1"/>
  <c r="L135" i="106" a="1"/>
  <c r="B43" i="11"/>
  <c r="B49" i="11" s="1"/>
  <c r="E43" i="11"/>
  <c r="C43" i="11"/>
  <c r="D43" i="11"/>
  <c r="L135" i="72" l="1"/>
  <c r="P135" i="72" s="1"/>
  <c r="P145" i="72"/>
  <c r="Q145" i="72" s="1"/>
  <c r="P144" i="72"/>
  <c r="Q144" i="72" s="1"/>
  <c r="P136" i="72"/>
  <c r="Q136" i="72" s="1"/>
  <c r="P146" i="72"/>
  <c r="P142" i="72"/>
  <c r="Q142" i="72" s="1"/>
  <c r="P143" i="72"/>
  <c r="Q143" i="72" s="1"/>
  <c r="P141" i="72"/>
  <c r="Q141" i="72" s="1"/>
  <c r="P140" i="72"/>
  <c r="Q140" i="72" s="1"/>
  <c r="P138" i="72"/>
  <c r="Q138" i="72" s="1"/>
  <c r="P137" i="72"/>
  <c r="Q137" i="72" s="1"/>
  <c r="P139" i="72"/>
  <c r="Q139" i="72" s="1"/>
  <c r="L135" i="106"/>
  <c r="O135" i="106" s="1"/>
  <c r="O146" i="106"/>
  <c r="O137" i="106"/>
  <c r="P137" i="106" s="1"/>
  <c r="O140" i="106"/>
  <c r="P140" i="106" s="1"/>
  <c r="O142" i="106"/>
  <c r="P142" i="106" s="1"/>
  <c r="O145" i="106"/>
  <c r="P145" i="106" s="1"/>
  <c r="O136" i="106"/>
  <c r="P136" i="106" s="1"/>
  <c r="O144" i="106"/>
  <c r="P144" i="106" s="1"/>
  <c r="O141" i="106"/>
  <c r="P141" i="106" s="1"/>
  <c r="O139" i="106"/>
  <c r="P139" i="106" s="1"/>
  <c r="O143" i="106"/>
  <c r="P143" i="106" s="1"/>
  <c r="O138" i="106"/>
  <c r="P138" i="106" s="1"/>
  <c r="C2" i="17"/>
  <c r="D2" i="17"/>
  <c r="G2" i="17"/>
  <c r="D1" i="18" s="1"/>
  <c r="H2" i="17"/>
  <c r="E1" i="18" s="1"/>
  <c r="Q163" i="72" l="1"/>
  <c r="Q169" i="72" s="1"/>
  <c r="Q135" i="72"/>
  <c r="Q146" i="72"/>
  <c r="P146" i="106"/>
  <c r="P150" i="106"/>
  <c r="P163" i="106"/>
  <c r="P135" i="106"/>
  <c r="L5" i="11"/>
  <c r="T162" i="72"/>
  <c r="C13" i="9" s="1"/>
  <c r="G36" i="11"/>
  <c r="Q170" i="72" l="1"/>
  <c r="S163" i="106"/>
  <c r="U152" i="72" s="1" a="1"/>
  <c r="U152" i="72" s="1"/>
  <c r="P169" i="106"/>
  <c r="P170" i="106" s="1"/>
  <c r="F36" i="11"/>
  <c r="C36" i="11"/>
  <c r="V152" i="72" l="1"/>
  <c r="E36" i="11"/>
  <c r="B36" i="11"/>
  <c r="D36" i="11"/>
  <c r="V3" i="9" l="1"/>
  <c r="T3" i="9"/>
  <c r="S3" i="9"/>
  <c r="Q3" i="9"/>
  <c r="U3" i="9"/>
  <c r="R3" i="9"/>
  <c r="P3" i="9"/>
  <c r="M5" i="11"/>
  <c r="T163" i="72"/>
  <c r="C14" i="9" s="1"/>
  <c r="C10" i="17"/>
  <c r="D10" i="17"/>
  <c r="B10" i="17"/>
  <c r="H9" i="17"/>
  <c r="G9" i="17"/>
  <c r="D9" i="17"/>
  <c r="C9" i="17"/>
  <c r="B9" i="17"/>
  <c r="H8" i="17"/>
  <c r="G8" i="17"/>
  <c r="D8" i="17"/>
  <c r="C8" i="17"/>
  <c r="B8" i="17"/>
  <c r="H7" i="17"/>
  <c r="G7" i="17"/>
  <c r="D7" i="17"/>
  <c r="C7" i="17"/>
  <c r="B7" i="17"/>
  <c r="G6" i="17"/>
  <c r="D6" i="17"/>
  <c r="C6" i="17"/>
  <c r="B6" i="17"/>
  <c r="H5" i="17"/>
  <c r="G5" i="17"/>
  <c r="D5" i="17"/>
  <c r="C5" i="17"/>
  <c r="B5" i="17"/>
  <c r="B1" i="18"/>
  <c r="B2" i="17"/>
  <c r="A40" i="11"/>
  <c r="A35" i="11"/>
  <c r="A21" i="11"/>
  <c r="A17" i="11"/>
  <c r="A13" i="11"/>
  <c r="V160" i="72" l="1"/>
  <c r="V159" i="72"/>
  <c r="V158" i="72"/>
  <c r="V157" i="72"/>
  <c r="V155" i="72"/>
  <c r="V154" i="72"/>
  <c r="V156" i="72"/>
  <c r="V153" i="72"/>
  <c r="V161" i="72"/>
  <c r="V162" i="72"/>
  <c r="V163" i="72"/>
  <c r="D19" i="11"/>
  <c r="E19" i="11"/>
  <c r="E15" i="11"/>
  <c r="B19" i="11"/>
  <c r="M3" i="9"/>
  <c r="B15" i="11"/>
  <c r="N3" i="9"/>
  <c r="C23" i="11"/>
  <c r="C19" i="11"/>
  <c r="C15" i="11"/>
  <c r="C48" i="11" s="1"/>
  <c r="F19" i="11"/>
  <c r="G19" i="11"/>
  <c r="F22" i="11"/>
  <c r="D41" i="11"/>
  <c r="C41" i="11"/>
  <c r="B22" i="11"/>
  <c r="B41" i="11"/>
  <c r="F41" i="11"/>
  <c r="F18" i="11"/>
  <c r="E24" i="11"/>
  <c r="V4" i="9" l="1"/>
  <c r="R4" i="9"/>
  <c r="U4" i="9"/>
  <c r="S4" i="9"/>
  <c r="T4" i="9"/>
  <c r="Q4" i="9"/>
  <c r="P4" i="9"/>
  <c r="V7" i="9"/>
  <c r="T7" i="9"/>
  <c r="S7" i="9"/>
  <c r="U7" i="9"/>
  <c r="Q7" i="9"/>
  <c r="R7" i="9"/>
  <c r="P7" i="9"/>
  <c r="U5" i="9"/>
  <c r="V5" i="9"/>
  <c r="Q5" i="9"/>
  <c r="R5" i="9"/>
  <c r="T5" i="9"/>
  <c r="S5" i="9"/>
  <c r="P5" i="9"/>
  <c r="V6" i="9"/>
  <c r="S6" i="9"/>
  <c r="U6" i="9"/>
  <c r="R6" i="9"/>
  <c r="T6" i="9"/>
  <c r="Q6" i="9"/>
  <c r="P6" i="9"/>
  <c r="P9" i="9"/>
  <c r="U9" i="9"/>
  <c r="S9" i="9"/>
  <c r="R9" i="9"/>
  <c r="T9" i="9"/>
  <c r="V9" i="9"/>
  <c r="Q9" i="9"/>
  <c r="P12" i="9"/>
  <c r="Q12" i="9"/>
  <c r="R12" i="9"/>
  <c r="S12" i="9"/>
  <c r="T12" i="9"/>
  <c r="U12" i="9"/>
  <c r="V12" i="9"/>
  <c r="V8" i="9"/>
  <c r="S8" i="9"/>
  <c r="R8" i="9"/>
  <c r="U8" i="9"/>
  <c r="T8" i="9"/>
  <c r="Q8" i="9"/>
  <c r="P8" i="9"/>
  <c r="V10" i="9"/>
  <c r="U10" i="9"/>
  <c r="S10" i="9"/>
  <c r="R10" i="9"/>
  <c r="T10" i="9"/>
  <c r="Q10" i="9"/>
  <c r="P10" i="9"/>
  <c r="R11" i="9"/>
  <c r="Q11" i="9"/>
  <c r="T11" i="9"/>
  <c r="V11" i="9"/>
  <c r="S11" i="9"/>
  <c r="P11" i="9"/>
  <c r="U11" i="9"/>
  <c r="B42" i="11"/>
  <c r="E16" i="18"/>
  <c r="E49" i="11"/>
  <c r="E66" i="11" s="1"/>
  <c r="F47" i="11"/>
  <c r="F64" i="11" s="1"/>
  <c r="G3" i="9"/>
  <c r="D16" i="18"/>
  <c r="C65" i="11"/>
  <c r="B37" i="11"/>
  <c r="G15" i="11"/>
  <c r="G23" i="11"/>
  <c r="D23" i="11"/>
  <c r="F23" i="11"/>
  <c r="H23" i="11"/>
  <c r="H19" i="11"/>
  <c r="F15" i="11"/>
  <c r="H15" i="11"/>
  <c r="E23" i="11"/>
  <c r="E48" i="11" s="1"/>
  <c r="D15" i="11"/>
  <c r="H36" i="11"/>
  <c r="I36" i="11"/>
  <c r="G41" i="11"/>
  <c r="C24" i="11"/>
  <c r="D24" i="11"/>
  <c r="E22" i="11"/>
  <c r="B66" i="11"/>
  <c r="C22" i="11"/>
  <c r="B18" i="11"/>
  <c r="E18" i="11"/>
  <c r="C18" i="11"/>
  <c r="C47" i="11" l="1"/>
  <c r="D29" i="18"/>
  <c r="D27" i="18" s="1"/>
  <c r="E29" i="18"/>
  <c r="E27" i="18" s="1"/>
  <c r="B48" i="11"/>
  <c r="B10" i="11"/>
  <c r="F3" i="9"/>
  <c r="F16" i="9" s="1"/>
  <c r="B47" i="11"/>
  <c r="B64" i="11" s="1"/>
  <c r="H48" i="11"/>
  <c r="D49" i="11"/>
  <c r="D66" i="11" s="1"/>
  <c r="F48" i="11"/>
  <c r="D48" i="11"/>
  <c r="D65" i="11" s="1"/>
  <c r="C49" i="11"/>
  <c r="C66" i="11" s="1"/>
  <c r="G48" i="11"/>
  <c r="B52" i="11"/>
  <c r="B65" i="11" s="1"/>
  <c r="C64" i="11"/>
  <c r="C10" i="11"/>
  <c r="G10" i="11"/>
  <c r="G52" i="11"/>
  <c r="E52" i="11"/>
  <c r="E65" i="11" s="1"/>
  <c r="E10" i="11"/>
  <c r="H52" i="11"/>
  <c r="H10" i="11"/>
  <c r="D10" i="11"/>
  <c r="F52" i="11"/>
  <c r="F10" i="11"/>
  <c r="J36" i="11"/>
  <c r="D22" i="11"/>
  <c r="G22" i="11"/>
  <c r="E41" i="11"/>
  <c r="G18" i="11"/>
  <c r="D18" i="11"/>
  <c r="G13" i="9" l="1"/>
  <c r="G32" i="9" s="1"/>
  <c r="G14" i="9"/>
  <c r="G47" i="11"/>
  <c r="G64" i="11" s="1"/>
  <c r="E47" i="11"/>
  <c r="E64" i="11" s="1"/>
  <c r="D47" i="11"/>
  <c r="D64" i="11" s="1"/>
  <c r="G33" i="9"/>
  <c r="F65" i="11"/>
  <c r="H65" i="11"/>
  <c r="G65" i="11"/>
  <c r="I14" i="11" l="1"/>
  <c r="I22" i="11"/>
  <c r="I18" i="11"/>
  <c r="H22" i="11"/>
  <c r="J22" i="11" l="1"/>
  <c r="I41" i="11"/>
  <c r="I47" i="11" s="1"/>
  <c r="H41" i="11"/>
  <c r="H18" i="11"/>
  <c r="H47" i="11" l="1"/>
  <c r="H64" i="11"/>
  <c r="I64" i="11"/>
  <c r="J14" i="11"/>
  <c r="J18" i="11"/>
  <c r="J41" i="11" l="1"/>
  <c r="F43" i="11" l="1"/>
  <c r="F24" i="11" l="1"/>
  <c r="F49" i="11" l="1"/>
  <c r="F66" i="11" s="1"/>
  <c r="I55" i="11"/>
  <c r="I59" i="11" s="1"/>
  <c r="L55" i="11" l="1"/>
  <c r="L59" i="11" s="1"/>
  <c r="M55" i="11" l="1"/>
  <c r="M59" i="11" s="1"/>
  <c r="I57" i="11" l="1"/>
  <c r="I61" i="11" s="1"/>
  <c r="I56" i="11" l="1"/>
  <c r="I60" i="11" s="1"/>
  <c r="L57" i="11"/>
  <c r="L61" i="11" s="1"/>
  <c r="M57" i="11" l="1"/>
  <c r="M61" i="11" s="1"/>
  <c r="L56" i="11"/>
  <c r="L60" i="11" s="1"/>
  <c r="M56" i="11" l="1"/>
  <c r="M60" i="11" s="1"/>
  <c r="I10" i="11" l="1"/>
  <c r="I33" i="11" l="1"/>
  <c r="J10" i="11"/>
  <c r="I43" i="11"/>
  <c r="K10" i="11" l="1"/>
  <c r="J33" i="11"/>
  <c r="J24" i="11"/>
  <c r="I24" i="11"/>
  <c r="I49" i="11" s="1"/>
  <c r="I53" i="11"/>
  <c r="I66" i="11" l="1"/>
  <c r="J43" i="11"/>
  <c r="J49" i="11" s="1"/>
  <c r="L10" i="11"/>
  <c r="M10" i="11"/>
  <c r="J53" i="11"/>
  <c r="H55" i="11"/>
  <c r="J66" i="11" l="1"/>
  <c r="H56" i="11"/>
  <c r="Y41" i="72" l="1"/>
  <c r="Y42" i="72"/>
  <c r="Y44" i="72" l="1"/>
  <c r="J27" i="11"/>
  <c r="J31" i="11"/>
  <c r="C38" i="17"/>
  <c r="C21" i="17" s="1"/>
  <c r="D38" i="17"/>
  <c r="D21" i="17" s="1"/>
  <c r="D22" i="17" s="1"/>
  <c r="E38" i="17"/>
  <c r="E21" i="17" s="1"/>
  <c r="E22" i="17" s="1"/>
  <c r="F21" i="17"/>
  <c r="F22" i="17" s="1"/>
  <c r="G38" i="17"/>
  <c r="H38" i="17"/>
  <c r="H21" i="17" s="1"/>
  <c r="H22" i="17" s="1"/>
  <c r="G21" i="17" l="1"/>
  <c r="G22" i="17" s="1"/>
  <c r="M28" i="9" s="1"/>
  <c r="J47" i="11"/>
  <c r="J64" i="11" s="1"/>
  <c r="K21" i="17"/>
  <c r="C22" i="17"/>
  <c r="L28" i="9"/>
  <c r="L27" i="9"/>
  <c r="L37" i="9" s="1"/>
  <c r="K28" i="9"/>
  <c r="K38" i="9" s="1"/>
  <c r="K48" i="9" s="1"/>
  <c r="K27" i="9"/>
  <c r="K37" i="9" s="1"/>
  <c r="J27" i="9"/>
  <c r="J37" i="9" s="1"/>
  <c r="N28" i="9"/>
  <c r="N27" i="9"/>
  <c r="K20" i="17"/>
  <c r="K18" i="11"/>
  <c r="K22" i="11"/>
  <c r="K27" i="11"/>
  <c r="K31" i="11"/>
  <c r="M27" i="9" l="1"/>
  <c r="M37" i="9" s="1"/>
  <c r="I22" i="17"/>
  <c r="I21" i="17"/>
  <c r="L51" i="11" s="1"/>
  <c r="J28" i="9"/>
  <c r="K22" i="17"/>
  <c r="Q25" i="17" s="1"/>
  <c r="I27" i="9"/>
  <c r="P25" i="17"/>
  <c r="P26" i="17" s="1"/>
  <c r="K14" i="11"/>
  <c r="N37" i="9"/>
  <c r="K41" i="11"/>
  <c r="L36" i="11"/>
  <c r="L27" i="11"/>
  <c r="K36" i="11"/>
  <c r="K47" i="11" l="1"/>
  <c r="K64" i="11" s="1"/>
  <c r="I37" i="9"/>
  <c r="P37" i="9" s="1"/>
  <c r="G27" i="9"/>
  <c r="G37" i="9" s="1"/>
  <c r="J38" i="9"/>
  <c r="J48" i="9" s="1"/>
  <c r="L48" i="9" s="1"/>
  <c r="I28" i="9"/>
  <c r="M51" i="11"/>
  <c r="Q26" i="17"/>
  <c r="L14" i="11"/>
  <c r="L38" i="9"/>
  <c r="M38" i="9"/>
  <c r="L31" i="11"/>
  <c r="N38" i="9"/>
  <c r="L41" i="11"/>
  <c r="L22" i="11"/>
  <c r="L18" i="11"/>
  <c r="I38" i="9" l="1"/>
  <c r="P38" i="9" s="1"/>
  <c r="G28" i="9"/>
  <c r="G38" i="9" s="1"/>
  <c r="L47" i="11"/>
  <c r="L64" i="11" s="1"/>
  <c r="H42" i="9"/>
  <c r="J42" i="9"/>
  <c r="I42" i="9"/>
  <c r="M14" i="11"/>
  <c r="M36" i="11"/>
  <c r="M27" i="11"/>
  <c r="M31" i="11"/>
  <c r="M18" i="11"/>
  <c r="M41" i="11"/>
  <c r="M22" i="11"/>
  <c r="M47" i="11" l="1"/>
  <c r="H43" i="9"/>
  <c r="J43" i="9"/>
  <c r="I43" i="9"/>
  <c r="I32" i="9"/>
  <c r="N42" i="9"/>
  <c r="N32" i="9" s="1"/>
  <c r="K42" i="9"/>
  <c r="L42" i="9"/>
  <c r="L32" i="9" s="1"/>
  <c r="M42" i="9"/>
  <c r="M32" i="9" s="1"/>
  <c r="J32" i="9"/>
  <c r="K38" i="11"/>
  <c r="K43" i="11"/>
  <c r="M64" i="11" l="1"/>
  <c r="E12" i="18"/>
  <c r="V13" i="9"/>
  <c r="B12" i="18"/>
  <c r="R13" i="9"/>
  <c r="D12" i="18"/>
  <c r="U13" i="9"/>
  <c r="C12" i="18"/>
  <c r="T13" i="9"/>
  <c r="L19" i="11"/>
  <c r="Q13" i="9"/>
  <c r="G42" i="9"/>
  <c r="L37" i="11"/>
  <c r="L42" i="11"/>
  <c r="I33" i="9"/>
  <c r="K32" i="9"/>
  <c r="H32" i="9"/>
  <c r="P13" i="9" s="1"/>
  <c r="L32" i="11"/>
  <c r="K43" i="9"/>
  <c r="L23" i="11"/>
  <c r="K24" i="11"/>
  <c r="N43" i="9"/>
  <c r="N33" i="9" s="1"/>
  <c r="M43" i="9"/>
  <c r="M33" i="9" s="1"/>
  <c r="U14" i="9" s="1"/>
  <c r="L43" i="9"/>
  <c r="L33" i="9" s="1"/>
  <c r="T14" i="9" s="1"/>
  <c r="F12" i="18" l="1"/>
  <c r="E13" i="18"/>
  <c r="M43" i="11" s="1"/>
  <c r="V14" i="9"/>
  <c r="L28" i="11"/>
  <c r="S13" i="9"/>
  <c r="M19" i="11"/>
  <c r="Q14" i="9"/>
  <c r="G43" i="9"/>
  <c r="P32" i="9"/>
  <c r="Q32" i="9" s="1"/>
  <c r="L15" i="11"/>
  <c r="K33" i="9"/>
  <c r="J33" i="9"/>
  <c r="R14" i="9" s="1"/>
  <c r="H33" i="9"/>
  <c r="P14" i="9" s="1"/>
  <c r="C13" i="18"/>
  <c r="M32" i="11"/>
  <c r="M42" i="11"/>
  <c r="D13" i="18"/>
  <c r="M37" i="11"/>
  <c r="K65" i="11"/>
  <c r="K33" i="11"/>
  <c r="K49" i="11" s="1"/>
  <c r="K53" i="11"/>
  <c r="L43" i="11"/>
  <c r="L38" i="11"/>
  <c r="L33" i="11"/>
  <c r="L48" i="11" l="1"/>
  <c r="K47" i="9"/>
  <c r="S14" i="9"/>
  <c r="M38" i="11"/>
  <c r="B13" i="18"/>
  <c r="J47" i="9"/>
  <c r="M28" i="11"/>
  <c r="L52" i="11"/>
  <c r="P33" i="9"/>
  <c r="M52" i="11" s="1"/>
  <c r="M23" i="11"/>
  <c r="M15" i="11"/>
  <c r="M33" i="11"/>
  <c r="L24" i="11"/>
  <c r="L49" i="11" s="1"/>
  <c r="L53" i="11"/>
  <c r="K66" i="11"/>
  <c r="L65" i="11" l="1"/>
  <c r="L47" i="9"/>
  <c r="L49" i="9" s="1"/>
  <c r="F13" i="18"/>
  <c r="M53" i="11" s="1"/>
  <c r="M24" i="11"/>
  <c r="M48" i="11"/>
  <c r="Q33" i="9"/>
  <c r="L66" i="11"/>
  <c r="M65" i="11" l="1"/>
  <c r="M49" i="11"/>
  <c r="N24" i="11"/>
  <c r="M66" i="1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<sst xmlns="http://schemas.openxmlformats.org/spreadsheetml/2006/main" count="558" uniqueCount="160">
  <si>
    <t>Loss Factor</t>
  </si>
  <si>
    <t>Total Billed</t>
  </si>
  <si>
    <t>Heating Degree Days</t>
  </si>
  <si>
    <t>Cooling Degree Days</t>
  </si>
  <si>
    <t>Purchases</t>
  </si>
  <si>
    <t>Modeled Purchases</t>
  </si>
  <si>
    <t>% Difference</t>
  </si>
  <si>
    <t>Total</t>
  </si>
  <si>
    <t xml:space="preserve">Predicted Purchases </t>
  </si>
  <si>
    <t>Average</t>
  </si>
  <si>
    <t xml:space="preserve">Geomean </t>
  </si>
  <si>
    <t>Usage Per Customer</t>
  </si>
  <si>
    <t>Check</t>
  </si>
  <si>
    <t>Spring Fall Flag</t>
  </si>
  <si>
    <t>SUMMARY OUTPUT</t>
  </si>
  <si>
    <t>Difference</t>
  </si>
  <si>
    <t xml:space="preserve">Growth Rate in Customer Numbers </t>
  </si>
  <si>
    <t>Weather Corrected Forecast</t>
  </si>
  <si>
    <t>Non Weather Corrected Forecast</t>
  </si>
  <si>
    <t>% Weather Sensitive</t>
  </si>
  <si>
    <t>Allocation of Weather Sensitive Amount</t>
  </si>
  <si>
    <t xml:space="preserve">  Customers</t>
  </si>
  <si>
    <t xml:space="preserve">  kWh</t>
  </si>
  <si>
    <t xml:space="preserve">  kW</t>
  </si>
  <si>
    <t xml:space="preserve">  kW from applicable classes</t>
  </si>
  <si>
    <t xml:space="preserve">  Customer/Connections</t>
  </si>
  <si>
    <t>Actual kWh Purchases</t>
  </si>
  <si>
    <t>Predicted kWh Purchases</t>
  </si>
  <si>
    <t>By Class</t>
  </si>
  <si>
    <t>Used</t>
  </si>
  <si>
    <t>kW/kWh</t>
  </si>
  <si>
    <t>May</t>
  </si>
  <si>
    <t>kWh</t>
  </si>
  <si>
    <t>kW</t>
  </si>
  <si>
    <t xml:space="preserve">2016 Actual </t>
  </si>
  <si>
    <t xml:space="preserve">2017 Actual </t>
  </si>
  <si>
    <t>Average Number of Customer/Connections</t>
  </si>
  <si>
    <t xml:space="preserve">2018 Actual </t>
  </si>
  <si>
    <t xml:space="preserve">2019 Actual </t>
  </si>
  <si>
    <t xml:space="preserve">Total Billed </t>
  </si>
  <si>
    <t>Input data</t>
  </si>
  <si>
    <t>Residential</t>
  </si>
  <si>
    <t>Year</t>
  </si>
  <si>
    <t>Date</t>
  </si>
  <si>
    <t>General Service &lt; 50 kW</t>
  </si>
  <si>
    <t xml:space="preserve">Street Lighting </t>
  </si>
  <si>
    <t>Consumption</t>
  </si>
  <si>
    <t>Wholesale</t>
  </si>
  <si>
    <t>Retail Consumption</t>
  </si>
  <si>
    <t>Wholesale Purchases</t>
  </si>
  <si>
    <t>Number of Customer/ Connection</t>
  </si>
  <si>
    <t>Customer/ Connection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</si>
  <si>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</si>
  <si>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</si>
  <si>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</si>
  <si>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</si>
  <si>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</si>
  <si>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</si>
  <si>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</si>
  <si>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</si>
  <si>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</si>
  <si>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</si>
  <si>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</si>
  <si>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Geomean Monthly Escalation</t>
  </si>
  <si>
    <t>Days in Month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</si>
  <si>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</si>
  <si>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</si>
  <si>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</si>
  <si>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</si>
  <si>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</si>
  <si>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</si>
  <si>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</si>
  <si>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</si>
  <si>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</si>
  <si>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</si>
  <si>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</si>
  <si>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Average Customer / Connection Count</t>
  </si>
  <si>
    <t>Month</t>
  </si>
  <si>
    <t>Number of Customers</t>
  </si>
  <si>
    <t>Total Customers</t>
  </si>
  <si>
    <t>Weather Normal</t>
  </si>
  <si>
    <t>Embedded Generation</t>
  </si>
  <si>
    <t>Unmetered Scattered Load</t>
  </si>
  <si>
    <t>Sentinel Lighting</t>
  </si>
  <si>
    <t>Power Purchases</t>
  </si>
  <si>
    <t>Shut Down Adjustment</t>
  </si>
  <si>
    <t>Reduced Load Adjustment</t>
  </si>
  <si>
    <t>Adjusted Power Purchases</t>
  </si>
  <si>
    <t>Residual (kWh)</t>
  </si>
  <si>
    <t xml:space="preserve">% Residual </t>
  </si>
  <si>
    <t>% Residual (Abs)</t>
  </si>
  <si>
    <t>Residual Squared</t>
  </si>
  <si>
    <t>Difference of Residuals</t>
  </si>
  <si>
    <t>Difference of Residuals Squared</t>
  </si>
  <si>
    <t>Checks - must be zero</t>
  </si>
  <si>
    <t>Customers</t>
  </si>
  <si>
    <t>Summary of Degree Day Information</t>
  </si>
  <si>
    <t>Summary of All Heating Degree Days</t>
  </si>
  <si>
    <t>10 Year Avg</t>
  </si>
  <si>
    <t>Summary of All Cooling Degree Days</t>
  </si>
  <si>
    <t>Shut Downs</t>
  </si>
  <si>
    <t>Reduced Load</t>
  </si>
  <si>
    <t>Mean Absolute Percentage Error (MAPE)</t>
  </si>
  <si>
    <t>Sum of Squared Difference of Residuals</t>
  </si>
  <si>
    <t>Sum of Squared Residuals</t>
  </si>
  <si>
    <t>Durbin-Watson Calculation</t>
  </si>
  <si>
    <t>Weather Actual</t>
  </si>
  <si>
    <t>Weather Normal Adjustment Factor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</si>
  <si>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</si>
  <si>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</si>
  <si>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</si>
  <si>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</si>
  <si>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</si>
  <si>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</si>
  <si>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</si>
  <si>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</si>
  <si>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</si>
  <si>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</si>
  <si>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</si>
  <si>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</si>
  <si>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</si>
  <si>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</si>
  <si>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</si>
  <si>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</si>
  <si>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</si>
  <si>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</si>
  <si>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</si>
  <si>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</si>
  <si>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</si>
  <si>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</si>
  <si>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 xml:space="preserve"> </t>
  </si>
  <si>
    <t>2024 Actual</t>
  </si>
  <si>
    <t>2023 Actual</t>
  </si>
  <si>
    <t xml:space="preserve">2021 Actual </t>
  </si>
  <si>
    <t xml:space="preserve">2020 Actual </t>
  </si>
  <si>
    <t>2027 Test</t>
  </si>
  <si>
    <t>2026 Bridge</t>
  </si>
  <si>
    <t xml:space="preserve">2022 Actual </t>
  </si>
  <si>
    <t>PORT COLBORNE, ONTARIO (CCN)</t>
  </si>
  <si>
    <t>9  Year Avg (-2015)</t>
  </si>
  <si>
    <t>General Service &gt;= 50 kW</t>
  </si>
  <si>
    <t>Embedded Distributor</t>
  </si>
  <si>
    <t>10-year average</t>
  </si>
  <si>
    <t>Summer Flag</t>
  </si>
  <si>
    <t>Manufactured Goods Sold (ON)</t>
  </si>
  <si>
    <t>2025 Growth</t>
  </si>
  <si>
    <t>2026 Growth</t>
  </si>
  <si>
    <t>2027 Growth</t>
  </si>
  <si>
    <t>2025 Actual</t>
  </si>
  <si>
    <t>Last 10 years</t>
  </si>
  <si>
    <t>2025 Dec</t>
  </si>
  <si>
    <t>COVID</t>
  </si>
  <si>
    <t>CNPI Weather Normal Load Forecast for 2027 Rate Application</t>
  </si>
  <si>
    <t>SBY kW</t>
  </si>
  <si>
    <t>GS&gt;50 inc SBY</t>
  </si>
  <si>
    <t>Weather Normalization Billed</t>
  </si>
  <si>
    <t>Reduction in Sentinel Lights</t>
  </si>
  <si>
    <t xml:space="preserve">Accounts </t>
  </si>
  <si>
    <t xml:space="preserve">Devices </t>
  </si>
  <si>
    <t>Devices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</si>
</sst>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5" formatCode="&quot;$&quot;#,##0;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_);\(&quot;$&quot;#,##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0.0%"/>
    <numFmt numFmtId="168" formatCode="#,##0;\(#,##0\)"/>
    <numFmt numFmtId="169" formatCode="0.0000"/>
    <numFmt numFmtId="170" formatCode="#,##0.0000"/>
    <numFmt numFmtId="171" formatCode="0.0000%"/>
    <numFmt numFmtId="172" formatCode="_(* #,##0_);_(* \(#,##0\);_(* &quot;-&quot;??_);_(@_)"/>
    <numFmt numFmtId="173" formatCode="_(* #,##0.0_);_(* \(#,##0.0\);_(* &quot;-&quot;??_);_(@_)"/>
    <numFmt numFmtId="174" formatCode="#,##0.0"/>
    <numFmt numFmtId="175" formatCode="mm/dd/yyyy"/>
    <numFmt numFmtId="176" formatCode="0\-0"/>
    <numFmt numFmtId="177" formatCode="##\-#"/>
    <numFmt numFmtId="178" formatCode="&quot;£ &quot;#,##0.00;[Red]\-&quot;£ &quot;#,##0.00"/>
    <numFmt numFmtId="179" formatCode="_-* #,##0.00_-;\-* #,##0.00_-;_-* \-??_-;_-@_-"/>
    <numFmt numFmtId="180" formatCode="_(* #,##0.00_);_(* \(#,##0.00\);_(* \-??_);_(@_)"/>
    <numFmt numFmtId="181" formatCode="_(* #,##0.0_);_(* \(#,##0.0\);_(* \-??_);_(@_)"/>
    <numFmt numFmtId="182" formatCode="_-\$* #,##0.00_-;&quot;-$&quot;* #,##0.00_-;_-\$* \-??_-;_-@_-"/>
    <numFmt numFmtId="183" formatCode="_(\$* #,##0.00_);_(\$* \(#,##0.00\);_(\$* \-??_);_(@_)"/>
    <numFmt numFmtId="184" formatCode="\$#,##0_);&quot;($&quot;#,##0\)"/>
    <numFmt numFmtId="185" formatCode="_(* #,##0_);_(* \(#,##0\);_(* \-??_);_(@_)"/>
    <numFmt numFmtId="186" formatCode="&quot;£ &quot;#,##0.00;[Red]&quot;-£ &quot;#,##0.00"/>
    <numFmt numFmtId="187" formatCode="[$-409]mmmm\ d\,\ yyyy;@"/>
    <numFmt numFmtId="188" formatCode="#,##0.0;\-#,##0.0"/>
    <numFmt numFmtId="189" formatCode="0.000%"/>
  </numFmts>
  <fonts count="17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4"/>
      <name val="Arial"/>
      <family val="2"/>
    </font>
    <font>
      <sz val="10"/>
      <name val="Times New Roman"/>
      <family val="1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Times New Roman"/>
      <family val="1"/>
    </font>
    <font>
      <u/>
      <sz val="10"/>
      <color indexed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imes New Roman"/>
      <family val="1"/>
    </font>
    <font>
      <b/>
      <sz val="8"/>
      <name val="Arial"/>
      <family val="2"/>
    </font>
    <font>
      <sz val="10"/>
      <name val="Arial"/>
      <family val="2"/>
      <charset val="1"/>
    </font>
    <font>
      <b/>
      <sz val="12"/>
      <color rgb="FFFFC000"/>
      <name val="Arial"/>
      <family val="2"/>
    </font>
    <font>
      <sz val="10"/>
      <name val="Mangal"/>
      <family val="2"/>
      <charset val="1"/>
    </font>
    <font>
      <u/>
      <sz val="10"/>
      <color indexed="12"/>
      <name val="Times New Roman"/>
      <family val="1"/>
    </font>
    <font>
      <sz val="10"/>
      <color theme="0" tint="-0.14999847407452621"/>
      <name val="Arial"/>
      <family val="2"/>
    </font>
    <font>
      <b/>
      <sz val="12"/>
      <color theme="0"/>
      <name val="Arial"/>
      <family val="2"/>
    </font>
    <font>
      <i/>
      <sz val="8"/>
      <name val="Arial"/>
      <family val="2"/>
    </font>
    <font>
      <b/>
      <u/>
      <sz val="8"/>
      <name val="Arial"/>
      <family val="2"/>
    </font>
    <font>
      <sz val="12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name val="Mangal"/>
      <family val="2"/>
    </font>
    <font>
      <sz val="10"/>
      <color indexed="10"/>
      <name val="Arial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1"/>
    </font>
    <font>
      <sz val="10"/>
      <color indexed="8"/>
      <name val="Arial"/>
      <family val="2"/>
      <charset val="1"/>
    </font>
    <font>
      <sz val="11"/>
      <color indexed="9"/>
      <name val="Calibri"/>
      <family val="2"/>
      <charset val="1"/>
    </font>
    <font>
      <sz val="10"/>
      <color indexed="9"/>
      <name val="Arial"/>
      <family val="2"/>
      <charset val="1"/>
    </font>
    <font>
      <sz val="11"/>
      <color indexed="16"/>
      <name val="Calibri"/>
      <family val="2"/>
      <charset val="1"/>
    </font>
    <font>
      <sz val="11"/>
      <color indexed="34"/>
      <name val="Calibri"/>
      <family val="2"/>
      <charset val="1"/>
    </font>
    <font>
      <sz val="10"/>
      <color indexed="34"/>
      <name val="Arial"/>
      <family val="2"/>
      <charset val="1"/>
    </font>
    <font>
      <b/>
      <sz val="11"/>
      <color indexed="59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0"/>
      <color indexed="52"/>
      <name val="Arial"/>
      <family val="2"/>
      <charset val="1"/>
    </font>
    <font>
      <b/>
      <sz val="11"/>
      <color indexed="9"/>
      <name val="Calibri"/>
      <family val="2"/>
      <charset val="1"/>
    </font>
    <font>
      <b/>
      <sz val="10"/>
      <color indexed="9"/>
      <name val="Arial"/>
      <family val="2"/>
      <charset val="1"/>
    </font>
    <font>
      <i/>
      <sz val="11"/>
      <color indexed="19"/>
      <name val="Calibri"/>
      <family val="2"/>
      <charset val="1"/>
    </font>
    <font>
      <i/>
      <sz val="11"/>
      <color indexed="23"/>
      <name val="Calibri"/>
      <family val="2"/>
      <charset val="1"/>
    </font>
    <font>
      <i/>
      <sz val="10"/>
      <color indexed="23"/>
      <name val="Arial"/>
      <family val="2"/>
      <charset val="1"/>
    </font>
    <font>
      <sz val="11"/>
      <color indexed="56"/>
      <name val="Calibri"/>
      <family val="2"/>
      <charset val="1"/>
    </font>
    <font>
      <sz val="10"/>
      <color indexed="56"/>
      <name val="Arial"/>
      <family val="2"/>
      <charset val="1"/>
    </font>
    <font>
      <sz val="8"/>
      <name val="Arial"/>
      <family val="2"/>
      <charset val="1"/>
    </font>
    <font>
      <b/>
      <sz val="15"/>
      <color indexed="62"/>
      <name val="Calibri"/>
      <family val="2"/>
      <charset val="1"/>
    </font>
    <font>
      <b/>
      <sz val="15"/>
      <color indexed="11"/>
      <name val="Calibri"/>
      <family val="2"/>
      <charset val="1"/>
    </font>
    <font>
      <b/>
      <sz val="13"/>
      <color indexed="62"/>
      <name val="Calibri"/>
      <family val="2"/>
      <charset val="1"/>
    </font>
    <font>
      <b/>
      <sz val="13"/>
      <color indexed="11"/>
      <name val="Calibri"/>
      <family val="2"/>
      <charset val="1"/>
    </font>
    <font>
      <b/>
      <sz val="11"/>
      <color indexed="62"/>
      <name val="Calibri"/>
      <family val="2"/>
      <charset val="1"/>
    </font>
    <font>
      <b/>
      <sz val="11"/>
      <color indexed="11"/>
      <name val="Calibri"/>
      <family val="2"/>
      <charset val="1"/>
    </font>
    <font>
      <b/>
      <sz val="11"/>
      <color indexed="11"/>
      <name val="Arial"/>
      <family val="2"/>
      <charset val="1"/>
    </font>
    <font>
      <u/>
      <sz val="7.5"/>
      <color indexed="12"/>
      <name val="Arial"/>
      <family val="2"/>
      <charset val="1"/>
    </font>
    <font>
      <u/>
      <sz val="10"/>
      <color indexed="12"/>
      <name val="Arial"/>
      <family val="2"/>
      <charset val="1"/>
    </font>
    <font>
      <sz val="11"/>
      <color indexed="62"/>
      <name val="Calibri"/>
      <family val="2"/>
      <charset val="1"/>
    </font>
    <font>
      <sz val="11"/>
      <color indexed="63"/>
      <name val="Calibri"/>
      <family val="2"/>
      <charset val="1"/>
    </font>
    <font>
      <sz val="10"/>
      <color indexed="62"/>
      <name val="Arial"/>
      <family val="2"/>
      <charset val="1"/>
    </font>
    <font>
      <sz val="11"/>
      <color indexed="59"/>
      <name val="Calibri"/>
      <family val="2"/>
      <charset val="1"/>
    </font>
    <font>
      <sz val="11"/>
      <color indexed="52"/>
      <name val="Calibri"/>
      <family val="2"/>
      <charset val="1"/>
    </font>
    <font>
      <sz val="10"/>
      <color indexed="52"/>
      <name val="Arial"/>
      <family val="2"/>
      <charset val="1"/>
    </font>
    <font>
      <sz val="11"/>
      <color indexed="60"/>
      <name val="Calibri"/>
      <family val="2"/>
      <charset val="1"/>
    </font>
    <font>
      <sz val="11"/>
      <color indexed="23"/>
      <name val="Calibri"/>
      <family val="2"/>
      <charset val="1"/>
    </font>
    <font>
      <sz val="10"/>
      <color indexed="23"/>
      <name val="Arial"/>
      <family val="2"/>
      <charset val="1"/>
    </font>
    <font>
      <sz val="10"/>
      <color indexed="8"/>
      <name val="Courier New"/>
      <family val="2"/>
      <charset val="1"/>
    </font>
    <font>
      <b/>
      <sz val="11"/>
      <color indexed="63"/>
      <name val="Calibri"/>
      <family val="2"/>
      <charset val="1"/>
    </font>
    <font>
      <b/>
      <sz val="10"/>
      <color indexed="63"/>
      <name val="Arial"/>
      <family val="2"/>
      <charset val="1"/>
    </font>
    <font>
      <b/>
      <sz val="18"/>
      <color indexed="62"/>
      <name val="Cambria"/>
      <family val="2"/>
      <charset val="1"/>
    </font>
    <font>
      <b/>
      <sz val="18"/>
      <color indexed="11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0"/>
      <color indexed="10"/>
      <name val="Arial"/>
      <family val="2"/>
      <charset val="1"/>
    </font>
    <font>
      <b/>
      <sz val="18"/>
      <name val="Arial"/>
      <family val="2"/>
    </font>
    <font>
      <u/>
      <sz val="7.5"/>
      <color indexed="12"/>
      <name val="Arial"/>
      <family val="2"/>
    </font>
    <font>
      <sz val="10"/>
      <name val="MS Sans Serif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62"/>
      <name val="Arial"/>
      <family val="2"/>
    </font>
    <font>
      <b/>
      <sz val="15"/>
      <color indexed="56"/>
      <name val="Arial"/>
      <family val="2"/>
    </font>
    <font>
      <b/>
      <sz val="13"/>
      <color indexed="62"/>
      <name val="Arial"/>
      <family val="2"/>
    </font>
    <font>
      <b/>
      <sz val="13"/>
      <color indexed="56"/>
      <name val="Arial"/>
      <family val="2"/>
    </font>
    <font>
      <b/>
      <sz val="11"/>
      <color indexed="62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1"/>
      <color indexed="53"/>
      <name val="Calibri"/>
      <family val="2"/>
      <charset val="1"/>
    </font>
    <font>
      <i/>
      <sz val="11"/>
      <color indexed="21"/>
      <name val="Calibri"/>
      <family val="2"/>
      <charset val="1"/>
    </font>
    <font>
      <sz val="11"/>
      <color indexed="17"/>
      <name val="Calibri"/>
      <family val="2"/>
      <charset val="1"/>
    </font>
    <font>
      <sz val="11"/>
      <color indexed="53"/>
      <name val="Calibri"/>
      <family val="2"/>
      <charset val="1"/>
    </font>
    <font>
      <sz val="11"/>
      <color indexed="19"/>
      <name val="Calibri"/>
      <family val="2"/>
      <charset val="1"/>
    </font>
    <font>
      <sz val="10"/>
      <name val="MS Sans Serif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8"/>
      <color rgb="FF80008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u/>
      <sz val="8"/>
      <color rgb="FF0000FF"/>
      <name val="Calibri"/>
      <family val="2"/>
      <scheme val="minor"/>
    </font>
    <font>
      <sz val="10"/>
      <color theme="1"/>
      <name val="Courier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color theme="2" tint="-0.499984740745262"/>
      <name val="Arial"/>
      <family val="2"/>
    </font>
    <font>
      <sz val="10"/>
      <color theme="4"/>
      <name val="Arial"/>
      <family val="2"/>
    </font>
  </fonts>
  <fills count="13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41"/>
        <bgColor indexed="27"/>
      </patternFill>
    </fill>
    <fill>
      <patternFill patternType="solid">
        <fgColor indexed="58"/>
        <bgColor indexed="27"/>
      </patternFill>
    </fill>
    <fill>
      <patternFill patternType="solid">
        <fgColor indexed="31"/>
        <bgColor indexed="15"/>
      </patternFill>
    </fill>
    <fill>
      <patternFill patternType="solid">
        <fgColor indexed="36"/>
        <bgColor indexed="28"/>
      </patternFill>
    </fill>
    <fill>
      <patternFill patternType="solid">
        <fgColor indexed="45"/>
        <bgColor indexed="51"/>
      </patternFill>
    </fill>
    <fill>
      <patternFill patternType="solid">
        <fgColor indexed="39"/>
        <bgColor indexed="58"/>
      </patternFill>
    </fill>
    <fill>
      <patternFill patternType="solid">
        <fgColor indexed="39"/>
        <bgColor indexed="32"/>
      </patternFill>
    </fill>
    <fill>
      <patternFill patternType="solid">
        <fgColor indexed="42"/>
        <bgColor indexed="27"/>
      </patternFill>
    </fill>
    <fill>
      <patternFill patternType="solid">
        <fgColor indexed="28"/>
        <bgColor indexed="41"/>
      </patternFill>
    </fill>
    <fill>
      <patternFill patternType="solid">
        <fgColor indexed="28"/>
        <bgColor indexed="58"/>
      </patternFill>
    </fill>
    <fill>
      <patternFill patternType="solid">
        <fgColor indexed="46"/>
        <bgColor indexed="50"/>
      </patternFill>
    </fill>
    <fill>
      <patternFill patternType="solid">
        <fgColor indexed="27"/>
        <bgColor indexed="41"/>
      </patternFill>
    </fill>
    <fill>
      <patternFill patternType="solid">
        <fgColor indexed="27"/>
        <bgColor indexed="58"/>
      </patternFill>
    </fill>
    <fill>
      <patternFill patternType="solid">
        <fgColor indexed="18"/>
        <bgColor indexed="58"/>
      </patternFill>
    </fill>
    <fill>
      <patternFill patternType="solid">
        <fgColor indexed="18"/>
        <bgColor indexed="39"/>
      </patternFill>
    </fill>
    <fill>
      <patternFill patternType="solid">
        <fgColor indexed="47"/>
        <bgColor indexed="51"/>
      </patternFill>
    </fill>
    <fill>
      <patternFill patternType="solid">
        <fgColor indexed="44"/>
        <bgColor indexed="24"/>
      </patternFill>
    </fill>
    <fill>
      <patternFill patternType="solid">
        <fgColor indexed="29"/>
        <bgColor indexed="46"/>
      </patternFill>
    </fill>
    <fill>
      <patternFill patternType="solid">
        <fgColor indexed="11"/>
        <bgColor indexed="20"/>
      </patternFill>
    </fill>
    <fill>
      <patternFill patternType="solid">
        <fgColor indexed="56"/>
        <bgColor indexed="41"/>
      </patternFill>
    </fill>
    <fill>
      <patternFill patternType="solid">
        <fgColor indexed="17"/>
        <bgColor indexed="35"/>
      </patternFill>
    </fill>
    <fill>
      <patternFill patternType="solid">
        <fgColor indexed="14"/>
        <bgColor indexed="22"/>
      </patternFill>
    </fill>
    <fill>
      <patternFill patternType="solid">
        <fgColor indexed="15"/>
        <bgColor indexed="31"/>
      </patternFill>
    </fill>
    <fill>
      <patternFill patternType="solid">
        <fgColor indexed="34"/>
        <bgColor indexed="47"/>
      </patternFill>
    </fill>
    <fill>
      <patternFill patternType="solid">
        <fgColor indexed="20"/>
        <bgColor indexed="47"/>
      </patternFill>
    </fill>
    <fill>
      <patternFill patternType="solid">
        <fgColor indexed="51"/>
        <bgColor indexed="47"/>
      </patternFill>
    </fill>
    <fill>
      <patternFill patternType="solid">
        <fgColor indexed="24"/>
        <bgColor indexed="44"/>
      </patternFill>
    </fill>
    <fill>
      <patternFill patternType="darkGray">
        <fgColor indexed="50"/>
        <bgColor indexed="46"/>
      </patternFill>
    </fill>
    <fill>
      <patternFill patternType="mediumGray">
        <fgColor indexed="11"/>
        <bgColor indexed="22"/>
      </patternFill>
    </fill>
    <fill>
      <patternFill patternType="solid">
        <fgColor indexed="35"/>
        <bgColor indexed="56"/>
      </patternFill>
    </fill>
    <fill>
      <patternFill patternType="solid">
        <fgColor indexed="46"/>
        <bgColor indexed="30"/>
      </patternFill>
    </fill>
    <fill>
      <patternFill patternType="solid">
        <fgColor indexed="49"/>
        <bgColor indexed="48"/>
      </patternFill>
    </fill>
    <fill>
      <patternFill patternType="darkGray">
        <fgColor indexed="52"/>
        <bgColor indexed="59"/>
      </patternFill>
    </fill>
    <fill>
      <patternFill patternType="darkGray">
        <fgColor indexed="48"/>
        <bgColor indexed="19"/>
      </patternFill>
    </fill>
    <fill>
      <patternFill patternType="solid">
        <fgColor indexed="62"/>
        <bgColor indexed="21"/>
      </patternFill>
    </fill>
    <fill>
      <patternFill patternType="solid">
        <fgColor indexed="48"/>
        <bgColor indexed="21"/>
      </patternFill>
    </fill>
    <fill>
      <patternFill patternType="darkGray">
        <fgColor indexed="48"/>
        <bgColor indexed="61"/>
      </patternFill>
    </fill>
    <fill>
      <patternFill patternType="solid">
        <fgColor indexed="60"/>
        <bgColor indexed="53"/>
      </patternFill>
    </fill>
    <fill>
      <patternFill patternType="solid">
        <fgColor indexed="10"/>
        <bgColor indexed="37"/>
      </patternFill>
    </fill>
    <fill>
      <patternFill patternType="solid">
        <fgColor indexed="25"/>
        <bgColor indexed="19"/>
      </patternFill>
    </fill>
    <fill>
      <patternFill patternType="solid">
        <fgColor indexed="50"/>
        <bgColor indexed="55"/>
      </patternFill>
    </fill>
    <fill>
      <patternFill patternType="solid">
        <fgColor indexed="54"/>
        <bgColor indexed="19"/>
      </patternFill>
    </fill>
    <fill>
      <patternFill patternType="solid">
        <fgColor indexed="50"/>
        <bgColor indexed="30"/>
      </patternFill>
    </fill>
    <fill>
      <patternFill patternType="solid">
        <fgColor indexed="54"/>
      </patternFill>
    </fill>
    <fill>
      <patternFill patternType="darkGray">
        <fgColor indexed="54"/>
        <bgColor indexed="19"/>
      </patternFill>
    </fill>
    <fill>
      <patternFill patternType="solid">
        <fgColor indexed="54"/>
        <bgColor indexed="57"/>
      </patternFill>
    </fill>
    <fill>
      <patternFill patternType="solid">
        <fgColor indexed="59"/>
        <bgColor indexed="53"/>
      </patternFill>
    </fill>
    <fill>
      <patternFill patternType="solid">
        <fgColor indexed="52"/>
        <bgColor indexed="53"/>
      </patternFill>
    </fill>
    <fill>
      <patternFill patternType="solid">
        <fgColor indexed="33"/>
        <bgColor indexed="34"/>
      </patternFill>
    </fill>
    <fill>
      <patternFill patternType="solid">
        <fgColor indexed="33"/>
        <bgColor indexed="20"/>
      </patternFill>
    </fill>
    <fill>
      <patternFill patternType="solid">
        <fgColor indexed="32"/>
        <bgColor indexed="58"/>
      </patternFill>
    </fill>
    <fill>
      <patternFill patternType="solid">
        <fgColor indexed="22"/>
        <bgColor indexed="35"/>
      </patternFill>
    </fill>
    <fill>
      <patternFill patternType="solid">
        <fgColor indexed="32"/>
        <bgColor indexed="39"/>
      </patternFill>
    </fill>
    <fill>
      <patternFill patternType="solid">
        <fgColor indexed="55"/>
        <bgColor indexed="38"/>
      </patternFill>
    </fill>
    <fill>
      <patternFill patternType="solid">
        <fgColor indexed="40"/>
        <bgColor indexed="30"/>
      </patternFill>
    </fill>
    <fill>
      <patternFill patternType="solid">
        <fgColor indexed="42"/>
        <bgColor indexed="41"/>
      </patternFill>
    </fill>
    <fill>
      <patternFill patternType="solid">
        <fgColor indexed="49"/>
        <bgColor indexed="64"/>
      </patternFill>
    </fill>
    <fill>
      <patternFill patternType="mediumGray">
        <fgColor indexed="42"/>
        <bgColor indexed="11"/>
      </patternFill>
    </fill>
    <fill>
      <patternFill patternType="solid">
        <fgColor indexed="41"/>
        <bgColor indexed="42"/>
      </patternFill>
    </fill>
    <fill>
      <patternFill patternType="solid">
        <fgColor indexed="22"/>
        <bgColor indexed="59"/>
      </patternFill>
    </fill>
    <fill>
      <patternFill patternType="solid">
        <fgColor indexed="26"/>
        <bgColor indexed="39"/>
      </patternFill>
    </fill>
    <fill>
      <patternFill patternType="mediumGray">
        <fgColor indexed="43"/>
        <bgColor indexed="34"/>
      </patternFill>
    </fill>
    <fill>
      <patternFill patternType="solid">
        <fgColor indexed="43"/>
        <bgColor indexed="26"/>
      </patternFill>
    </fill>
    <fill>
      <patternFill patternType="solid">
        <fgColor indexed="34"/>
        <bgColor indexed="43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4" tint="-0.249977111117893"/>
      </right>
      <top/>
      <bottom style="thin">
        <color indexed="64"/>
      </bottom>
      <diagonal/>
    </border>
    <border>
      <left style="medium">
        <color theme="4" tint="-0.249977111117893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19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 style="thin">
        <color indexed="21"/>
      </left>
      <right style="thin">
        <color indexed="21"/>
      </right>
      <top style="thin">
        <color indexed="21"/>
      </top>
      <bottom style="thin">
        <color indexed="21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indexed="50"/>
      </bottom>
      <diagonal/>
    </border>
    <border>
      <left/>
      <right/>
      <top/>
      <bottom style="double">
        <color indexed="59"/>
      </bottom>
      <diagonal/>
    </border>
    <border>
      <left/>
      <right/>
      <top/>
      <bottom style="double">
        <color indexed="53"/>
      </bottom>
      <diagonal/>
    </border>
    <border>
      <left style="thin">
        <color indexed="50"/>
      </left>
      <right style="thin">
        <color indexed="50"/>
      </right>
      <top style="thin">
        <color indexed="50"/>
      </top>
      <bottom style="thin">
        <color indexed="50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double">
        <color indexed="0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indexed="64"/>
      </right>
      <top/>
      <bottom/>
      <diagonal/>
    </border>
  </borders>
  <cellStyleXfs count="4063">
    <xf numFmtId="0" fontId="0" fillId="0" borderId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" fillId="5" borderId="1" applyNumberFormat="0" applyProtection="0">
      <alignment horizontal="left" vertical="center"/>
    </xf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4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8" fillId="0" borderId="0"/>
    <xf numFmtId="174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5" fontId="8" fillId="0" borderId="0"/>
    <xf numFmtId="176" fontId="8" fillId="0" borderId="0"/>
    <xf numFmtId="175" fontId="8" fillId="0" borderId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13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32" fillId="25" borderId="0" applyNumberFormat="0" applyBorder="0" applyAlignment="0" applyProtection="0"/>
    <xf numFmtId="0" fontId="32" fillId="29" borderId="0" applyNumberFormat="0" applyBorder="0" applyAlignment="0" applyProtection="0"/>
    <xf numFmtId="0" fontId="32" fillId="33" borderId="0" applyNumberFormat="0" applyBorder="0" applyAlignment="0" applyProtection="0"/>
    <xf numFmtId="0" fontId="23" fillId="7" borderId="0" applyNumberFormat="0" applyBorder="0" applyAlignment="0" applyProtection="0"/>
    <xf numFmtId="0" fontId="27" fillId="10" borderId="10" applyNumberFormat="0" applyAlignment="0" applyProtection="0"/>
    <xf numFmtId="0" fontId="29" fillId="11" borderId="13" applyNumberFormat="0" applyAlignment="0" applyProtection="0"/>
    <xf numFmtId="166" fontId="6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22" fillId="6" borderId="0" applyNumberFormat="0" applyBorder="0" applyAlignment="0" applyProtection="0"/>
    <xf numFmtId="38" fontId="14" fillId="37" borderId="0" applyNumberFormat="0" applyBorder="0" applyAlignment="0" applyProtection="0"/>
    <xf numFmtId="38" fontId="14" fillId="37" borderId="0" applyNumberFormat="0" applyBorder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10" fontId="14" fillId="38" borderId="1" applyNumberFormat="0" applyBorder="0" applyAlignment="0" applyProtection="0"/>
    <xf numFmtId="10" fontId="14" fillId="38" borderId="1" applyNumberFormat="0" applyBorder="0" applyAlignment="0" applyProtection="0"/>
    <xf numFmtId="0" fontId="25" fillId="9" borderId="10" applyNumberFormat="0" applyAlignment="0" applyProtection="0"/>
    <xf numFmtId="0" fontId="28" fillId="0" borderId="12" applyNumberFormat="0" applyFill="0" applyAlignment="0" applyProtection="0"/>
    <xf numFmtId="177" fontId="8" fillId="0" borderId="0"/>
    <xf numFmtId="172" fontId="8" fillId="0" borderId="0"/>
    <xf numFmtId="177" fontId="8" fillId="0" borderId="0"/>
    <xf numFmtId="177" fontId="8" fillId="0" borderId="0"/>
    <xf numFmtId="177" fontId="8" fillId="0" borderId="0"/>
    <xf numFmtId="177" fontId="8" fillId="0" borderId="0"/>
    <xf numFmtId="0" fontId="24" fillId="8" borderId="0" applyNumberFormat="0" applyBorder="0" applyAlignment="0" applyProtection="0"/>
    <xf numFmtId="178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12" borderId="14" applyNumberFormat="0" applyFont="0" applyAlignment="0" applyProtection="0"/>
    <xf numFmtId="0" fontId="26" fillId="10" borderId="11" applyNumberFormat="0" applyAlignment="0" applyProtection="0"/>
    <xf numFmtId="10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3" fillId="0" borderId="0" applyNumberFormat="0" applyBorder="0" applyAlignment="0"/>
    <xf numFmtId="0" fontId="34" fillId="0" borderId="0" applyNumberFormat="0" applyBorder="0" applyAlignment="0"/>
    <xf numFmtId="0" fontId="35" fillId="0" borderId="0" applyNumberFormat="0" applyBorder="0" applyAlignment="0"/>
    <xf numFmtId="0" fontId="36" fillId="0" borderId="16">
      <alignment horizontal="center" vertical="center"/>
    </xf>
    <xf numFmtId="0" fontId="18" fillId="0" borderId="0" applyNumberFormat="0" applyFill="0" applyBorder="0" applyAlignment="0" applyProtection="0"/>
    <xf numFmtId="0" fontId="17" fillId="0" borderId="15" applyNumberFormat="0" applyFill="0" applyAlignment="0" applyProtection="0"/>
    <xf numFmtId="0" fontId="30" fillId="0" borderId="0" applyNumberForma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0" fontId="37" fillId="0" borderId="0"/>
    <xf numFmtId="166" fontId="37" fillId="0" borderId="0" applyFont="0" applyFill="0" applyBorder="0" applyAlignment="0" applyProtection="0"/>
    <xf numFmtId="0" fontId="37" fillId="0" borderId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2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2" fillId="33" borderId="0" applyNumberFormat="0" applyBorder="0" applyAlignment="0" applyProtection="0"/>
    <xf numFmtId="0" fontId="43" fillId="7" borderId="0" applyNumberFormat="0" applyBorder="0" applyAlignment="0" applyProtection="0"/>
    <xf numFmtId="0" fontId="43" fillId="7" borderId="0" applyNumberFormat="0" applyBorder="0" applyAlignment="0" applyProtection="0"/>
    <xf numFmtId="0" fontId="43" fillId="7" borderId="0" applyNumberFormat="0" applyBorder="0" applyAlignment="0" applyProtection="0"/>
    <xf numFmtId="0" fontId="43" fillId="7" borderId="0" applyNumberFormat="0" applyBorder="0" applyAlignment="0" applyProtection="0"/>
    <xf numFmtId="0" fontId="43" fillId="7" borderId="0" applyNumberFormat="0" applyBorder="0" applyAlignment="0" applyProtection="0"/>
    <xf numFmtId="0" fontId="43" fillId="7" borderId="0" applyNumberFormat="0" applyBorder="0" applyAlignment="0" applyProtection="0"/>
    <xf numFmtId="0" fontId="43" fillId="7" borderId="0" applyNumberFormat="0" applyBorder="0" applyAlignment="0" applyProtection="0"/>
    <xf numFmtId="0" fontId="43" fillId="7" borderId="0" applyNumberFormat="0" applyBorder="0" applyAlignment="0" applyProtection="0"/>
    <xf numFmtId="0" fontId="43" fillId="7" borderId="0" applyNumberFormat="0" applyBorder="0" applyAlignment="0" applyProtection="0"/>
    <xf numFmtId="0" fontId="43" fillId="7" borderId="0" applyNumberFormat="0" applyBorder="0" applyAlignment="0" applyProtection="0"/>
    <xf numFmtId="0" fontId="43" fillId="7" borderId="0" applyNumberFormat="0" applyBorder="0" applyAlignment="0" applyProtection="0"/>
    <xf numFmtId="0" fontId="43" fillId="7" borderId="0" applyNumberFormat="0" applyBorder="0" applyAlignment="0" applyProtection="0"/>
    <xf numFmtId="0" fontId="43" fillId="7" borderId="0" applyNumberFormat="0" applyBorder="0" applyAlignment="0" applyProtection="0"/>
    <xf numFmtId="0" fontId="43" fillId="7" borderId="0" applyNumberFormat="0" applyBorder="0" applyAlignment="0" applyProtection="0"/>
    <xf numFmtId="0" fontId="44" fillId="10" borderId="10" applyNumberFormat="0" applyAlignment="0" applyProtection="0"/>
    <xf numFmtId="0" fontId="44" fillId="10" borderId="10" applyNumberFormat="0" applyAlignment="0" applyProtection="0"/>
    <xf numFmtId="0" fontId="44" fillId="10" borderId="10" applyNumberFormat="0" applyAlignment="0" applyProtection="0"/>
    <xf numFmtId="0" fontId="44" fillId="10" borderId="10" applyNumberFormat="0" applyAlignment="0" applyProtection="0"/>
    <xf numFmtId="0" fontId="44" fillId="10" borderId="10" applyNumberFormat="0" applyAlignment="0" applyProtection="0"/>
    <xf numFmtId="0" fontId="44" fillId="10" borderId="10" applyNumberFormat="0" applyAlignment="0" applyProtection="0"/>
    <xf numFmtId="0" fontId="44" fillId="10" borderId="10" applyNumberFormat="0" applyAlignment="0" applyProtection="0"/>
    <xf numFmtId="0" fontId="44" fillId="10" borderId="10" applyNumberFormat="0" applyAlignment="0" applyProtection="0"/>
    <xf numFmtId="0" fontId="44" fillId="10" borderId="10" applyNumberFormat="0" applyAlignment="0" applyProtection="0"/>
    <xf numFmtId="0" fontId="44" fillId="10" borderId="10" applyNumberFormat="0" applyAlignment="0" applyProtection="0"/>
    <xf numFmtId="0" fontId="44" fillId="10" borderId="10" applyNumberFormat="0" applyAlignment="0" applyProtection="0"/>
    <xf numFmtId="0" fontId="44" fillId="10" borderId="10" applyNumberFormat="0" applyAlignment="0" applyProtection="0"/>
    <xf numFmtId="0" fontId="44" fillId="10" borderId="10" applyNumberFormat="0" applyAlignment="0" applyProtection="0"/>
    <xf numFmtId="0" fontId="44" fillId="10" borderId="10" applyNumberFormat="0" applyAlignment="0" applyProtection="0"/>
    <xf numFmtId="0" fontId="45" fillId="11" borderId="13" applyNumberFormat="0" applyAlignment="0" applyProtection="0"/>
    <xf numFmtId="0" fontId="45" fillId="11" borderId="13" applyNumberFormat="0" applyAlignment="0" applyProtection="0"/>
    <xf numFmtId="0" fontId="45" fillId="11" borderId="13" applyNumberFormat="0" applyAlignment="0" applyProtection="0"/>
    <xf numFmtId="0" fontId="45" fillId="11" borderId="13" applyNumberFormat="0" applyAlignment="0" applyProtection="0"/>
    <xf numFmtId="0" fontId="45" fillId="11" borderId="13" applyNumberFormat="0" applyAlignment="0" applyProtection="0"/>
    <xf numFmtId="0" fontId="45" fillId="11" borderId="13" applyNumberFormat="0" applyAlignment="0" applyProtection="0"/>
    <xf numFmtId="0" fontId="45" fillId="11" borderId="13" applyNumberFormat="0" applyAlignment="0" applyProtection="0"/>
    <xf numFmtId="0" fontId="45" fillId="11" borderId="13" applyNumberFormat="0" applyAlignment="0" applyProtection="0"/>
    <xf numFmtId="0" fontId="45" fillId="11" borderId="13" applyNumberFormat="0" applyAlignment="0" applyProtection="0"/>
    <xf numFmtId="0" fontId="45" fillId="11" borderId="13" applyNumberFormat="0" applyAlignment="0" applyProtection="0"/>
    <xf numFmtId="0" fontId="45" fillId="11" borderId="13" applyNumberFormat="0" applyAlignment="0" applyProtection="0"/>
    <xf numFmtId="0" fontId="45" fillId="11" borderId="13" applyNumberFormat="0" applyAlignment="0" applyProtection="0"/>
    <xf numFmtId="0" fontId="45" fillId="11" borderId="13" applyNumberFormat="0" applyAlignment="0" applyProtection="0"/>
    <xf numFmtId="0" fontId="45" fillId="11" borderId="13" applyNumberFormat="0" applyAlignment="0" applyProtection="0"/>
    <xf numFmtId="43" fontId="37" fillId="0" borderId="0" applyFont="0" applyFill="0" applyBorder="0" applyAlignment="0" applyProtection="0"/>
    <xf numFmtId="166" fontId="4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9" fillId="0" borderId="8" applyNumberFormat="0" applyFill="0" applyAlignment="0" applyProtection="0"/>
    <xf numFmtId="0" fontId="49" fillId="0" borderId="8" applyNumberFormat="0" applyFill="0" applyAlignment="0" applyProtection="0"/>
    <xf numFmtId="0" fontId="49" fillId="0" borderId="8" applyNumberFormat="0" applyFill="0" applyAlignment="0" applyProtection="0"/>
    <xf numFmtId="0" fontId="49" fillId="0" borderId="8" applyNumberFormat="0" applyFill="0" applyAlignment="0" applyProtection="0"/>
    <xf numFmtId="0" fontId="49" fillId="0" borderId="8" applyNumberFormat="0" applyFill="0" applyAlignment="0" applyProtection="0"/>
    <xf numFmtId="0" fontId="49" fillId="0" borderId="8" applyNumberFormat="0" applyFill="0" applyAlignment="0" applyProtection="0"/>
    <xf numFmtId="0" fontId="49" fillId="0" borderId="8" applyNumberFormat="0" applyFill="0" applyAlignment="0" applyProtection="0"/>
    <xf numFmtId="0" fontId="49" fillId="0" borderId="8" applyNumberFormat="0" applyFill="0" applyAlignment="0" applyProtection="0"/>
    <xf numFmtId="0" fontId="49" fillId="0" borderId="8" applyNumberFormat="0" applyFill="0" applyAlignment="0" applyProtection="0"/>
    <xf numFmtId="0" fontId="49" fillId="0" borderId="8" applyNumberFormat="0" applyFill="0" applyAlignment="0" applyProtection="0"/>
    <xf numFmtId="0" fontId="49" fillId="0" borderId="8" applyNumberFormat="0" applyFill="0" applyAlignment="0" applyProtection="0"/>
    <xf numFmtId="0" fontId="49" fillId="0" borderId="8" applyNumberFormat="0" applyFill="0" applyAlignment="0" applyProtection="0"/>
    <xf numFmtId="0" fontId="49" fillId="0" borderId="8" applyNumberFormat="0" applyFill="0" applyAlignment="0" applyProtection="0"/>
    <xf numFmtId="0" fontId="49" fillId="0" borderId="8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9" borderId="10" applyNumberFormat="0" applyAlignment="0" applyProtection="0"/>
    <xf numFmtId="0" fontId="51" fillId="9" borderId="10" applyNumberFormat="0" applyAlignment="0" applyProtection="0"/>
    <xf numFmtId="0" fontId="51" fillId="9" borderId="10" applyNumberFormat="0" applyAlignment="0" applyProtection="0"/>
    <xf numFmtId="0" fontId="51" fillId="9" borderId="10" applyNumberFormat="0" applyAlignment="0" applyProtection="0"/>
    <xf numFmtId="0" fontId="51" fillId="9" borderId="10" applyNumberFormat="0" applyAlignment="0" applyProtection="0"/>
    <xf numFmtId="0" fontId="51" fillId="9" borderId="10" applyNumberFormat="0" applyAlignment="0" applyProtection="0"/>
    <xf numFmtId="0" fontId="51" fillId="9" borderId="10" applyNumberFormat="0" applyAlignment="0" applyProtection="0"/>
    <xf numFmtId="0" fontId="51" fillId="9" borderId="10" applyNumberFormat="0" applyAlignment="0" applyProtection="0"/>
    <xf numFmtId="0" fontId="51" fillId="9" borderId="10" applyNumberFormat="0" applyAlignment="0" applyProtection="0"/>
    <xf numFmtId="0" fontId="51" fillId="9" borderId="10" applyNumberFormat="0" applyAlignment="0" applyProtection="0"/>
    <xf numFmtId="0" fontId="51" fillId="9" borderId="10" applyNumberFormat="0" applyAlignment="0" applyProtection="0"/>
    <xf numFmtId="0" fontId="51" fillId="9" borderId="10" applyNumberFormat="0" applyAlignment="0" applyProtection="0"/>
    <xf numFmtId="0" fontId="51" fillId="9" borderId="10" applyNumberFormat="0" applyAlignment="0" applyProtection="0"/>
    <xf numFmtId="0" fontId="51" fillId="9" borderId="10" applyNumberFormat="0" applyAlignment="0" applyProtection="0"/>
    <xf numFmtId="0" fontId="52" fillId="0" borderId="12" applyNumberFormat="0" applyFill="0" applyAlignment="0" applyProtection="0"/>
    <xf numFmtId="0" fontId="52" fillId="0" borderId="12" applyNumberFormat="0" applyFill="0" applyAlignment="0" applyProtection="0"/>
    <xf numFmtId="0" fontId="52" fillId="0" borderId="12" applyNumberFormat="0" applyFill="0" applyAlignment="0" applyProtection="0"/>
    <xf numFmtId="0" fontId="52" fillId="0" borderId="12" applyNumberFormat="0" applyFill="0" applyAlignment="0" applyProtection="0"/>
    <xf numFmtId="0" fontId="52" fillId="0" borderId="12" applyNumberFormat="0" applyFill="0" applyAlignment="0" applyProtection="0"/>
    <xf numFmtId="0" fontId="52" fillId="0" borderId="12" applyNumberFormat="0" applyFill="0" applyAlignment="0" applyProtection="0"/>
    <xf numFmtId="0" fontId="52" fillId="0" borderId="12" applyNumberFormat="0" applyFill="0" applyAlignment="0" applyProtection="0"/>
    <xf numFmtId="0" fontId="52" fillId="0" borderId="12" applyNumberFormat="0" applyFill="0" applyAlignment="0" applyProtection="0"/>
    <xf numFmtId="0" fontId="52" fillId="0" borderId="12" applyNumberFormat="0" applyFill="0" applyAlignment="0" applyProtection="0"/>
    <xf numFmtId="0" fontId="52" fillId="0" borderId="12" applyNumberFormat="0" applyFill="0" applyAlignment="0" applyProtection="0"/>
    <xf numFmtId="0" fontId="52" fillId="0" borderId="12" applyNumberFormat="0" applyFill="0" applyAlignment="0" applyProtection="0"/>
    <xf numFmtId="0" fontId="52" fillId="0" borderId="12" applyNumberFormat="0" applyFill="0" applyAlignment="0" applyProtection="0"/>
    <xf numFmtId="0" fontId="52" fillId="0" borderId="12" applyNumberFormat="0" applyFill="0" applyAlignment="0" applyProtection="0"/>
    <xf numFmtId="0" fontId="52" fillId="0" borderId="12" applyNumberFormat="0" applyFill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3" fillId="12" borderId="14" applyNumberFormat="0" applyFont="0" applyAlignment="0" applyProtection="0"/>
    <xf numFmtId="0" fontId="33" fillId="12" borderId="14" applyNumberFormat="0" applyFont="0" applyAlignment="0" applyProtection="0"/>
    <xf numFmtId="0" fontId="33" fillId="12" borderId="14" applyNumberFormat="0" applyFont="0" applyAlignment="0" applyProtection="0"/>
    <xf numFmtId="0" fontId="33" fillId="12" borderId="14" applyNumberFormat="0" applyFont="0" applyAlignment="0" applyProtection="0"/>
    <xf numFmtId="0" fontId="33" fillId="12" borderId="14" applyNumberFormat="0" applyFont="0" applyAlignment="0" applyProtection="0"/>
    <xf numFmtId="0" fontId="33" fillId="12" borderId="14" applyNumberFormat="0" applyFont="0" applyAlignment="0" applyProtection="0"/>
    <xf numFmtId="0" fontId="33" fillId="12" borderId="14" applyNumberFormat="0" applyFont="0" applyAlignment="0" applyProtection="0"/>
    <xf numFmtId="0" fontId="33" fillId="12" borderId="14" applyNumberFormat="0" applyFont="0" applyAlignment="0" applyProtection="0"/>
    <xf numFmtId="0" fontId="33" fillId="12" borderId="14" applyNumberFormat="0" applyFont="0" applyAlignment="0" applyProtection="0"/>
    <xf numFmtId="0" fontId="33" fillId="12" borderId="14" applyNumberFormat="0" applyFont="0" applyAlignment="0" applyProtection="0"/>
    <xf numFmtId="0" fontId="33" fillId="12" borderId="14" applyNumberFormat="0" applyFont="0" applyAlignment="0" applyProtection="0"/>
    <xf numFmtId="0" fontId="33" fillId="12" borderId="14" applyNumberFormat="0" applyFont="0" applyAlignment="0" applyProtection="0"/>
    <xf numFmtId="0" fontId="33" fillId="12" borderId="14" applyNumberFormat="0" applyFont="0" applyAlignment="0" applyProtection="0"/>
    <xf numFmtId="0" fontId="33" fillId="12" borderId="14" applyNumberFormat="0" applyFont="0" applyAlignment="0" applyProtection="0"/>
    <xf numFmtId="0" fontId="54" fillId="10" borderId="11" applyNumberFormat="0" applyAlignment="0" applyProtection="0"/>
    <xf numFmtId="0" fontId="54" fillId="10" borderId="11" applyNumberFormat="0" applyAlignment="0" applyProtection="0"/>
    <xf numFmtId="0" fontId="54" fillId="10" borderId="11" applyNumberFormat="0" applyAlignment="0" applyProtection="0"/>
    <xf numFmtId="0" fontId="54" fillId="10" borderId="11" applyNumberFormat="0" applyAlignment="0" applyProtection="0"/>
    <xf numFmtId="0" fontId="54" fillId="10" borderId="11" applyNumberFormat="0" applyAlignment="0" applyProtection="0"/>
    <xf numFmtId="0" fontId="54" fillId="10" borderId="11" applyNumberFormat="0" applyAlignment="0" applyProtection="0"/>
    <xf numFmtId="0" fontId="54" fillId="10" borderId="11" applyNumberFormat="0" applyAlignment="0" applyProtection="0"/>
    <xf numFmtId="0" fontId="54" fillId="10" borderId="11" applyNumberFormat="0" applyAlignment="0" applyProtection="0"/>
    <xf numFmtId="0" fontId="54" fillId="10" borderId="11" applyNumberFormat="0" applyAlignment="0" applyProtection="0"/>
    <xf numFmtId="0" fontId="54" fillId="10" borderId="11" applyNumberFormat="0" applyAlignment="0" applyProtection="0"/>
    <xf numFmtId="0" fontId="54" fillId="10" borderId="11" applyNumberFormat="0" applyAlignment="0" applyProtection="0"/>
    <xf numFmtId="0" fontId="54" fillId="10" borderId="11" applyNumberFormat="0" applyAlignment="0" applyProtection="0"/>
    <xf numFmtId="0" fontId="54" fillId="10" borderId="11" applyNumberFormat="0" applyAlignment="0" applyProtection="0"/>
    <xf numFmtId="0" fontId="54" fillId="10" borderId="11" applyNumberFormat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55" fillId="0" borderId="15" applyNumberFormat="0" applyFill="0" applyAlignment="0" applyProtection="0"/>
    <xf numFmtId="0" fontId="55" fillId="0" borderId="15" applyNumberFormat="0" applyFill="0" applyAlignment="0" applyProtection="0"/>
    <xf numFmtId="0" fontId="55" fillId="0" borderId="15" applyNumberFormat="0" applyFill="0" applyAlignment="0" applyProtection="0"/>
    <xf numFmtId="0" fontId="55" fillId="0" borderId="15" applyNumberFormat="0" applyFill="0" applyAlignment="0" applyProtection="0"/>
    <xf numFmtId="0" fontId="55" fillId="0" borderId="15" applyNumberFormat="0" applyFill="0" applyAlignment="0" applyProtection="0"/>
    <xf numFmtId="0" fontId="55" fillId="0" borderId="15" applyNumberFormat="0" applyFill="0" applyAlignment="0" applyProtection="0"/>
    <xf numFmtId="0" fontId="55" fillId="0" borderId="15" applyNumberFormat="0" applyFill="0" applyAlignment="0" applyProtection="0"/>
    <xf numFmtId="0" fontId="55" fillId="0" borderId="15" applyNumberFormat="0" applyFill="0" applyAlignment="0" applyProtection="0"/>
    <xf numFmtId="0" fontId="55" fillId="0" borderId="15" applyNumberFormat="0" applyFill="0" applyAlignment="0" applyProtection="0"/>
    <xf numFmtId="0" fontId="55" fillId="0" borderId="15" applyNumberFormat="0" applyFill="0" applyAlignment="0" applyProtection="0"/>
    <xf numFmtId="0" fontId="55" fillId="0" borderId="15" applyNumberFormat="0" applyFill="0" applyAlignment="0" applyProtection="0"/>
    <xf numFmtId="0" fontId="55" fillId="0" borderId="15" applyNumberFormat="0" applyFill="0" applyAlignment="0" applyProtection="0"/>
    <xf numFmtId="0" fontId="55" fillId="0" borderId="15" applyNumberFormat="0" applyFill="0" applyAlignment="0" applyProtection="0"/>
    <xf numFmtId="0" fontId="55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4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3" fillId="0" borderId="0"/>
    <xf numFmtId="0" fontId="3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5" borderId="1" applyNumberFormat="0" applyProtection="0">
      <alignment horizontal="left" vertical="center"/>
    </xf>
    <xf numFmtId="0" fontId="8" fillId="5" borderId="1" applyNumberFormat="0" applyProtection="0">
      <alignment horizontal="left" vertical="center"/>
    </xf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7" fillId="0" borderId="0"/>
    <xf numFmtId="166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7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0" fontId="3" fillId="0" borderId="0"/>
    <xf numFmtId="0" fontId="3" fillId="0" borderId="0"/>
    <xf numFmtId="9" fontId="37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9" borderId="0" applyNumberFormat="0" applyBorder="0" applyAlignment="0" applyProtection="0"/>
    <xf numFmtId="0" fontId="58" fillId="50" borderId="0" applyNumberFormat="0" applyBorder="0" applyAlignment="0" applyProtection="0"/>
    <xf numFmtId="0" fontId="58" fillId="47" borderId="0" applyNumberFormat="0" applyBorder="0" applyAlignment="0" applyProtection="0"/>
    <xf numFmtId="0" fontId="58" fillId="48" borderId="0" applyNumberFormat="0" applyBorder="0" applyAlignment="0" applyProtection="0"/>
    <xf numFmtId="0" fontId="58" fillId="51" borderId="0" applyNumberFormat="0" applyBorder="0" applyAlignment="0" applyProtection="0"/>
    <xf numFmtId="0" fontId="58" fillId="52" borderId="0" applyNumberFormat="0" applyBorder="0" applyAlignment="0" applyProtection="0"/>
    <xf numFmtId="0" fontId="58" fillId="53" borderId="0" applyNumberFormat="0" applyBorder="0" applyAlignment="0" applyProtection="0"/>
    <xf numFmtId="0" fontId="58" fillId="54" borderId="0" applyNumberFormat="0" applyBorder="0" applyAlignment="0" applyProtection="0"/>
    <xf numFmtId="0" fontId="58" fillId="55" borderId="0" applyNumberFormat="0" applyBorder="0" applyAlignment="0" applyProtection="0"/>
    <xf numFmtId="0" fontId="58" fillId="56" borderId="0" applyNumberFormat="0" applyBorder="0" applyAlignment="0" applyProtection="0"/>
    <xf numFmtId="0" fontId="60" fillId="58" borderId="17" applyNumberFormat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69" fillId="60" borderId="0" applyNumberFormat="0" applyBorder="0" applyAlignment="0" applyProtection="0"/>
    <xf numFmtId="0" fontId="71" fillId="0" borderId="0" applyNumberFormat="0" applyFill="0" applyBorder="0" applyAlignment="0" applyProtection="0"/>
    <xf numFmtId="0" fontId="72" fillId="0" borderId="25" applyNumberFormat="0" applyFill="0" applyAlignment="0" applyProtection="0"/>
    <xf numFmtId="0" fontId="73" fillId="0" borderId="0" applyNumberFormat="0" applyFill="0" applyBorder="0" applyAlignment="0" applyProtection="0"/>
    <xf numFmtId="0" fontId="8" fillId="0" borderId="0"/>
    <xf numFmtId="0" fontId="20" fillId="0" borderId="8" applyNumberFormat="0" applyFill="0" applyAlignment="0" applyProtection="0"/>
    <xf numFmtId="0" fontId="19" fillId="0" borderId="7" applyNumberFormat="0" applyFill="0" applyAlignment="0" applyProtection="0"/>
    <xf numFmtId="0" fontId="3" fillId="0" borderId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0" applyNumberFormat="0" applyBorder="0" applyAlignment="0" applyProtection="0"/>
    <xf numFmtId="0" fontId="25" fillId="9" borderId="10" applyNumberFormat="0" applyAlignment="0" applyProtection="0"/>
    <xf numFmtId="0" fontId="26" fillId="10" borderId="11" applyNumberFormat="0" applyAlignment="0" applyProtection="0"/>
    <xf numFmtId="0" fontId="27" fillId="10" borderId="10" applyNumberFormat="0" applyAlignment="0" applyProtection="0"/>
    <xf numFmtId="0" fontId="28" fillId="0" borderId="12" applyNumberFormat="0" applyFill="0" applyAlignment="0" applyProtection="0"/>
    <xf numFmtId="0" fontId="29" fillId="11" borderId="13" applyNumberFormat="0" applyAlignment="0" applyProtection="0"/>
    <xf numFmtId="0" fontId="30" fillId="0" borderId="0" applyNumberFormat="0" applyFill="0" applyBorder="0" applyAlignment="0" applyProtection="0"/>
    <xf numFmtId="0" fontId="3" fillId="12" borderId="14" applyNumberFormat="0" applyFont="0" applyAlignment="0" applyProtection="0"/>
    <xf numFmtId="0" fontId="31" fillId="0" borderId="0" applyNumberFormat="0" applyFill="0" applyBorder="0" applyAlignment="0" applyProtection="0"/>
    <xf numFmtId="0" fontId="17" fillId="0" borderId="15" applyNumberFormat="0" applyFill="0" applyAlignment="0" applyProtection="0"/>
    <xf numFmtId="0" fontId="3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2" fillId="3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0" fontId="3" fillId="0" borderId="0"/>
    <xf numFmtId="0" fontId="70" fillId="58" borderId="24" applyNumberFormat="0" applyAlignment="0" applyProtection="0"/>
    <xf numFmtId="0" fontId="61" fillId="59" borderId="18" applyNumberFormat="0" applyAlignment="0" applyProtection="0"/>
    <xf numFmtId="0" fontId="67" fillId="45" borderId="17" applyNumberFormat="0" applyAlignment="0" applyProtection="0"/>
    <xf numFmtId="0" fontId="8" fillId="61" borderId="23" applyNumberFormat="0" applyFont="0" applyAlignment="0" applyProtection="0"/>
    <xf numFmtId="0" fontId="63" fillId="42" borderId="0" applyNumberFormat="0" applyBorder="0" applyAlignment="0" applyProtection="0"/>
    <xf numFmtId="0" fontId="59" fillId="41" borderId="0" applyNumberFormat="0" applyBorder="0" applyAlignment="0" applyProtection="0"/>
    <xf numFmtId="0" fontId="66" fillId="0" borderId="21" applyNumberFormat="0" applyFill="0" applyAlignment="0" applyProtection="0"/>
    <xf numFmtId="0" fontId="65" fillId="0" borderId="20" applyNumberFormat="0" applyFill="0" applyAlignment="0" applyProtection="0"/>
    <xf numFmtId="0" fontId="62" fillId="0" borderId="0" applyNumberFormat="0" applyFill="0" applyBorder="0" applyAlignment="0" applyProtection="0"/>
    <xf numFmtId="0" fontId="64" fillId="0" borderId="19" applyNumberFormat="0" applyFill="0" applyAlignment="0" applyProtection="0"/>
    <xf numFmtId="0" fontId="56" fillId="0" borderId="0" applyNumberForma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8" fillId="5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58" fillId="57" borderId="0" applyNumberFormat="0" applyBorder="0" applyAlignment="0" applyProtection="0"/>
    <xf numFmtId="0" fontId="58" fillId="51" borderId="0" applyNumberFormat="0" applyBorder="0" applyAlignment="0" applyProtection="0"/>
    <xf numFmtId="43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7" fillId="0" borderId="0"/>
    <xf numFmtId="0" fontId="68" fillId="0" borderId="22" applyNumberFormat="0" applyFill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66" fillId="0" borderId="0" applyNumberForma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" fillId="0" borderId="0"/>
    <xf numFmtId="0" fontId="8" fillId="0" borderId="0"/>
    <xf numFmtId="0" fontId="67" fillId="45" borderId="17" applyNumberFormat="0" applyAlignment="0" applyProtection="0"/>
    <xf numFmtId="0" fontId="67" fillId="45" borderId="17" applyNumberFormat="0" applyAlignment="0" applyProtection="0"/>
    <xf numFmtId="0" fontId="67" fillId="45" borderId="17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67" fillId="45" borderId="17" applyNumberFormat="0" applyAlignment="0" applyProtection="0"/>
    <xf numFmtId="0" fontId="8" fillId="0" borderId="0"/>
    <xf numFmtId="0" fontId="37" fillId="0" borderId="0"/>
    <xf numFmtId="0" fontId="3" fillId="0" borderId="0"/>
    <xf numFmtId="0" fontId="3" fillId="0" borderId="0"/>
    <xf numFmtId="9" fontId="37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" fillId="0" borderId="0"/>
    <xf numFmtId="0" fontId="8" fillId="0" borderId="0"/>
    <xf numFmtId="9" fontId="37" fillId="0" borderId="0" applyFont="0" applyFill="0" applyBorder="0" applyAlignment="0" applyProtection="0"/>
    <xf numFmtId="0" fontId="37" fillId="0" borderId="0"/>
    <xf numFmtId="9" fontId="8" fillId="0" borderId="0" applyFont="0" applyFill="0" applyBorder="0" applyAlignment="0" applyProtection="0"/>
    <xf numFmtId="0" fontId="8" fillId="0" borderId="0"/>
    <xf numFmtId="9" fontId="37" fillId="0" borderId="0" applyFont="0" applyFill="0" applyBorder="0" applyAlignment="0" applyProtection="0"/>
    <xf numFmtId="0" fontId="37" fillId="0" borderId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8" fillId="0" borderId="0"/>
    <xf numFmtId="0" fontId="3" fillId="0" borderId="0"/>
    <xf numFmtId="0" fontId="3" fillId="0" borderId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71" fillId="0" borderId="0" applyNumberFormat="0" applyFill="0" applyBorder="0" applyAlignment="0" applyProtection="0"/>
    <xf numFmtId="0" fontId="3" fillId="0" borderId="0"/>
    <xf numFmtId="44" fontId="3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7" fillId="0" borderId="0"/>
    <xf numFmtId="43" fontId="37" fillId="0" borderId="0" applyFont="0" applyFill="0" applyBorder="0" applyAlignment="0" applyProtection="0"/>
    <xf numFmtId="0" fontId="3" fillId="0" borderId="0"/>
    <xf numFmtId="0" fontId="3" fillId="0" borderId="0"/>
    <xf numFmtId="9" fontId="37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7" fillId="0" borderId="0"/>
    <xf numFmtId="9" fontId="3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3" fillId="0" borderId="0"/>
    <xf numFmtId="0" fontId="56" fillId="0" borderId="0" applyNumberFormat="0" applyFill="0" applyBorder="0" applyAlignment="0" applyProtection="0"/>
    <xf numFmtId="0" fontId="74" fillId="0" borderId="0"/>
    <xf numFmtId="0" fontId="2" fillId="0" borderId="0"/>
    <xf numFmtId="0" fontId="76" fillId="0" borderId="0"/>
    <xf numFmtId="179" fontId="78" fillId="0" borderId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0" fontId="29" fillId="11" borderId="13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" fillId="19" borderId="0" applyNumberFormat="0" applyBorder="0" applyAlignment="0" applyProtection="0"/>
    <xf numFmtId="0" fontId="32" fillId="29" borderId="0" applyNumberFormat="0" applyBorder="0" applyAlignment="0" applyProtection="0"/>
    <xf numFmtId="0" fontId="1" fillId="30" borderId="0" applyNumberFormat="0" applyBorder="0" applyAlignment="0" applyProtection="0"/>
    <xf numFmtId="0" fontId="37" fillId="0" borderId="0"/>
    <xf numFmtId="181" fontId="76" fillId="0" borderId="0"/>
    <xf numFmtId="181" fontId="76" fillId="0" borderId="0"/>
    <xf numFmtId="173" fontId="8" fillId="0" borderId="0"/>
    <xf numFmtId="173" fontId="8" fillId="0" borderId="0"/>
    <xf numFmtId="174" fontId="76" fillId="0" borderId="0"/>
    <xf numFmtId="174" fontId="76" fillId="0" borderId="0"/>
    <xf numFmtId="174" fontId="8" fillId="0" borderId="0"/>
    <xf numFmtId="174" fontId="8" fillId="0" borderId="0"/>
    <xf numFmtId="181" fontId="76" fillId="0" borderId="0"/>
    <xf numFmtId="181" fontId="76" fillId="0" borderId="0"/>
    <xf numFmtId="173" fontId="8" fillId="0" borderId="0"/>
    <xf numFmtId="173" fontId="8" fillId="0" borderId="0"/>
    <xf numFmtId="181" fontId="76" fillId="0" borderId="0"/>
    <xf numFmtId="181" fontId="76" fillId="0" borderId="0"/>
    <xf numFmtId="173" fontId="8" fillId="0" borderId="0"/>
    <xf numFmtId="173" fontId="8" fillId="0" borderId="0"/>
    <xf numFmtId="181" fontId="76" fillId="0" borderId="0"/>
    <xf numFmtId="181" fontId="76" fillId="0" borderId="0"/>
    <xf numFmtId="173" fontId="8" fillId="0" borderId="0"/>
    <xf numFmtId="173" fontId="8" fillId="0" borderId="0"/>
    <xf numFmtId="181" fontId="76" fillId="0" borderId="0"/>
    <xf numFmtId="181" fontId="76" fillId="0" borderId="0"/>
    <xf numFmtId="173" fontId="8" fillId="0" borderId="0"/>
    <xf numFmtId="173" fontId="8" fillId="0" borderId="0"/>
    <xf numFmtId="175" fontId="76" fillId="0" borderId="0"/>
    <xf numFmtId="175" fontId="76" fillId="0" borderId="0"/>
    <xf numFmtId="14" fontId="8" fillId="0" borderId="0"/>
    <xf numFmtId="175" fontId="8" fillId="0" borderId="0"/>
    <xf numFmtId="175" fontId="8" fillId="0" borderId="0"/>
    <xf numFmtId="14" fontId="8" fillId="0" borderId="0"/>
    <xf numFmtId="176" fontId="76" fillId="0" borderId="0"/>
    <xf numFmtId="176" fontId="76" fillId="0" borderId="0"/>
    <xf numFmtId="176" fontId="8" fillId="0" borderId="0"/>
    <xf numFmtId="176" fontId="8" fillId="0" borderId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1" fillId="14" borderId="0" applyNumberFormat="0" applyBorder="0" applyAlignment="0" applyProtection="0"/>
    <xf numFmtId="0" fontId="92" fillId="69" borderId="0" applyNumberFormat="0" applyBorder="0" applyAlignment="0" applyProtection="0"/>
    <xf numFmtId="0" fontId="1" fillId="45" borderId="0" applyNumberFormat="0" applyBorder="0" applyAlignment="0" applyProtection="0"/>
    <xf numFmtId="0" fontId="92" fillId="70" borderId="0" applyNumberFormat="0" applyBorder="0" applyAlignment="0" applyProtection="0"/>
    <xf numFmtId="0" fontId="92" fillId="71" borderId="0" applyNumberFormat="0" applyBorder="0" applyAlignment="0" applyProtection="0"/>
    <xf numFmtId="0" fontId="41" fillId="40" borderId="0" applyNumberFormat="0" applyBorder="0" applyAlignment="0" applyProtection="0"/>
    <xf numFmtId="0" fontId="92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92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92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92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87" fontId="1" fillId="45" borderId="0" applyNumberFormat="0" applyBorder="0" applyAlignment="0" applyProtection="0"/>
    <xf numFmtId="0" fontId="39" fillId="45" borderId="0" applyNumberFormat="0" applyBorder="0" applyAlignment="0" applyProtection="0"/>
    <xf numFmtId="0" fontId="92" fillId="71" borderId="0" applyNumberFormat="0" applyBorder="0" applyAlignment="0" applyProtection="0"/>
    <xf numFmtId="0" fontId="33" fillId="40" borderId="0" applyNumberFormat="0" applyBorder="0" applyAlignment="0" applyProtection="0"/>
    <xf numFmtId="0" fontId="41" fillId="40" borderId="0" applyNumberFormat="0" applyBorder="0" applyAlignment="0" applyProtection="0"/>
    <xf numFmtId="0" fontId="93" fillId="71" borderId="0" applyNumberFormat="0" applyBorder="0" applyAlignment="0" applyProtection="0"/>
    <xf numFmtId="0" fontId="33" fillId="40" borderId="0" applyNumberFormat="0" applyBorder="0" applyAlignment="0" applyProtection="0"/>
    <xf numFmtId="0" fontId="41" fillId="40" borderId="0" applyNumberFormat="0" applyBorder="0" applyAlignment="0" applyProtection="0"/>
    <xf numFmtId="187" fontId="41" fillId="40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1" fillId="18" borderId="0" applyNumberFormat="0" applyBorder="0" applyAlignment="0" applyProtection="0"/>
    <xf numFmtId="0" fontId="92" fillId="72" borderId="0" applyNumberFormat="0" applyBorder="0" applyAlignment="0" applyProtection="0"/>
    <xf numFmtId="0" fontId="1" fillId="47" borderId="0" applyNumberFormat="0" applyBorder="0" applyAlignment="0" applyProtection="0"/>
    <xf numFmtId="0" fontId="92" fillId="73" borderId="0" applyNumberFormat="0" applyBorder="0" applyAlignment="0" applyProtection="0"/>
    <xf numFmtId="0" fontId="41" fillId="41" borderId="0" applyNumberFormat="0" applyBorder="0" applyAlignment="0" applyProtection="0"/>
    <xf numFmtId="0" fontId="92" fillId="72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92" fillId="72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92" fillId="72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92" fillId="72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187" fontId="1" fillId="47" borderId="0" applyNumberFormat="0" applyBorder="0" applyAlignment="0" applyProtection="0"/>
    <xf numFmtId="0" fontId="39" fillId="47" borderId="0" applyNumberFormat="0" applyBorder="0" applyAlignment="0" applyProtection="0"/>
    <xf numFmtId="0" fontId="92" fillId="73" borderId="0" applyNumberFormat="0" applyBorder="0" applyAlignment="0" applyProtection="0"/>
    <xf numFmtId="0" fontId="33" fillId="41" borderId="0" applyNumberFormat="0" applyBorder="0" applyAlignment="0" applyProtection="0"/>
    <xf numFmtId="0" fontId="41" fillId="41" borderId="0" applyNumberFormat="0" applyBorder="0" applyAlignment="0" applyProtection="0"/>
    <xf numFmtId="0" fontId="93" fillId="73" borderId="0" applyNumberFormat="0" applyBorder="0" applyAlignment="0" applyProtection="0"/>
    <xf numFmtId="0" fontId="33" fillId="41" borderId="0" applyNumberFormat="0" applyBorder="0" applyAlignment="0" applyProtection="0"/>
    <xf numFmtId="0" fontId="41" fillId="41" borderId="0" applyNumberFormat="0" applyBorder="0" applyAlignment="0" applyProtection="0"/>
    <xf numFmtId="187" fontId="41" fillId="41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1" fillId="22" borderId="0" applyNumberFormat="0" applyBorder="0" applyAlignment="0" applyProtection="0"/>
    <xf numFmtId="0" fontId="92" fillId="74" borderId="0" applyNumberFormat="0" applyBorder="0" applyAlignment="0" applyProtection="0"/>
    <xf numFmtId="0" fontId="1" fillId="61" borderId="0" applyNumberFormat="0" applyBorder="0" applyAlignment="0" applyProtection="0"/>
    <xf numFmtId="0" fontId="92" fillId="75" borderId="0" applyNumberFormat="0" applyBorder="0" applyAlignment="0" applyProtection="0"/>
    <xf numFmtId="0" fontId="92" fillId="76" borderId="0" applyNumberFormat="0" applyBorder="0" applyAlignment="0" applyProtection="0"/>
    <xf numFmtId="0" fontId="41" fillId="42" borderId="0" applyNumberFormat="0" applyBorder="0" applyAlignment="0" applyProtection="0"/>
    <xf numFmtId="0" fontId="92" fillId="74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92" fillId="74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92" fillId="74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92" fillId="74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187" fontId="1" fillId="61" borderId="0" applyNumberFormat="0" applyBorder="0" applyAlignment="0" applyProtection="0"/>
    <xf numFmtId="0" fontId="39" fillId="61" borderId="0" applyNumberFormat="0" applyBorder="0" applyAlignment="0" applyProtection="0"/>
    <xf numFmtId="0" fontId="92" fillId="76" borderId="0" applyNumberFormat="0" applyBorder="0" applyAlignment="0" applyProtection="0"/>
    <xf numFmtId="0" fontId="33" fillId="42" borderId="0" applyNumberFormat="0" applyBorder="0" applyAlignment="0" applyProtection="0"/>
    <xf numFmtId="0" fontId="41" fillId="42" borderId="0" applyNumberFormat="0" applyBorder="0" applyAlignment="0" applyProtection="0"/>
    <xf numFmtId="0" fontId="93" fillId="76" borderId="0" applyNumberFormat="0" applyBorder="0" applyAlignment="0" applyProtection="0"/>
    <xf numFmtId="0" fontId="33" fillId="42" borderId="0" applyNumberFormat="0" applyBorder="0" applyAlignment="0" applyProtection="0"/>
    <xf numFmtId="0" fontId="41" fillId="42" borderId="0" applyNumberFormat="0" applyBorder="0" applyAlignment="0" applyProtection="0"/>
    <xf numFmtId="187" fontId="41" fillId="42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1" fillId="26" borderId="0" applyNumberFormat="0" applyBorder="0" applyAlignment="0" applyProtection="0"/>
    <xf numFmtId="0" fontId="92" fillId="77" borderId="0" applyNumberFormat="0" applyBorder="0" applyAlignment="0" applyProtection="0"/>
    <xf numFmtId="0" fontId="1" fillId="45" borderId="0" applyNumberFormat="0" applyBorder="0" applyAlignment="0" applyProtection="0"/>
    <xf numFmtId="0" fontId="92" fillId="78" borderId="0" applyNumberFormat="0" applyBorder="0" applyAlignment="0" applyProtection="0"/>
    <xf numFmtId="0" fontId="92" fillId="79" borderId="0" applyNumberFormat="0" applyBorder="0" applyAlignment="0" applyProtection="0"/>
    <xf numFmtId="0" fontId="41" fillId="43" borderId="0" applyNumberFormat="0" applyBorder="0" applyAlignment="0" applyProtection="0"/>
    <xf numFmtId="0" fontId="92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92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92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92" fillId="7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87" fontId="1" fillId="45" borderId="0" applyNumberFormat="0" applyBorder="0" applyAlignment="0" applyProtection="0"/>
    <xf numFmtId="0" fontId="39" fillId="45" borderId="0" applyNumberFormat="0" applyBorder="0" applyAlignment="0" applyProtection="0"/>
    <xf numFmtId="0" fontId="92" fillId="79" borderId="0" applyNumberFormat="0" applyBorder="0" applyAlignment="0" applyProtection="0"/>
    <xf numFmtId="0" fontId="33" fillId="43" borderId="0" applyNumberFormat="0" applyBorder="0" applyAlignment="0" applyProtection="0"/>
    <xf numFmtId="0" fontId="41" fillId="43" borderId="0" applyNumberFormat="0" applyBorder="0" applyAlignment="0" applyProtection="0"/>
    <xf numFmtId="0" fontId="93" fillId="79" borderId="0" applyNumberFormat="0" applyBorder="0" applyAlignment="0" applyProtection="0"/>
    <xf numFmtId="0" fontId="33" fillId="43" borderId="0" applyNumberFormat="0" applyBorder="0" applyAlignment="0" applyProtection="0"/>
    <xf numFmtId="0" fontId="41" fillId="43" borderId="0" applyNumberFormat="0" applyBorder="0" applyAlignment="0" applyProtection="0"/>
    <xf numFmtId="187" fontId="41" fillId="43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92" fillId="80" borderId="0" applyNumberFormat="0" applyBorder="0" applyAlignment="0" applyProtection="0"/>
    <xf numFmtId="0" fontId="1" fillId="30" borderId="0" applyNumberFormat="0" applyBorder="0" applyAlignment="0" applyProtection="0"/>
    <xf numFmtId="0" fontId="92" fillId="81" borderId="0" applyNumberFormat="0" applyBorder="0" applyAlignment="0" applyProtection="0"/>
    <xf numFmtId="0" fontId="92" fillId="80" borderId="0" applyNumberFormat="0" applyBorder="0" applyAlignment="0" applyProtection="0"/>
    <xf numFmtId="0" fontId="41" fillId="44" borderId="0" applyNumberFormat="0" applyBorder="0" applyAlignment="0" applyProtection="0"/>
    <xf numFmtId="0" fontId="92" fillId="8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8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8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8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39" fillId="30" borderId="0" applyNumberFormat="0" applyBorder="0" applyAlignment="0" applyProtection="0"/>
    <xf numFmtId="0" fontId="92" fillId="80" borderId="0" applyNumberFormat="0" applyBorder="0" applyAlignment="0" applyProtection="0"/>
    <xf numFmtId="0" fontId="33" fillId="44" borderId="0" applyNumberFormat="0" applyBorder="0" applyAlignment="0" applyProtection="0"/>
    <xf numFmtId="0" fontId="41" fillId="44" borderId="0" applyNumberFormat="0" applyBorder="0" applyAlignment="0" applyProtection="0"/>
    <xf numFmtId="0" fontId="93" fillId="80" borderId="0" applyNumberFormat="0" applyBorder="0" applyAlignment="0" applyProtection="0"/>
    <xf numFmtId="0" fontId="33" fillId="44" borderId="0" applyNumberFormat="0" applyBorder="0" applyAlignment="0" applyProtection="0"/>
    <xf numFmtId="0" fontId="41" fillId="44" borderId="0" applyNumberFormat="0" applyBorder="0" applyAlignment="0" applyProtection="0"/>
    <xf numFmtId="187" fontId="41" fillId="44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1" fillId="34" borderId="0" applyNumberFormat="0" applyBorder="0" applyAlignment="0" applyProtection="0"/>
    <xf numFmtId="0" fontId="92" fillId="82" borderId="0" applyNumberFormat="0" applyBorder="0" applyAlignment="0" applyProtection="0"/>
    <xf numFmtId="0" fontId="1" fillId="61" borderId="0" applyNumberFormat="0" applyBorder="0" applyAlignment="0" applyProtection="0"/>
    <xf numFmtId="0" fontId="92" fillId="83" borderId="0" applyNumberFormat="0" applyBorder="0" applyAlignment="0" applyProtection="0"/>
    <xf numFmtId="0" fontId="92" fillId="84" borderId="0" applyNumberFormat="0" applyBorder="0" applyAlignment="0" applyProtection="0"/>
    <xf numFmtId="0" fontId="41" fillId="45" borderId="0" applyNumberFormat="0" applyBorder="0" applyAlignment="0" applyProtection="0"/>
    <xf numFmtId="0" fontId="92" fillId="82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92" fillId="82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92" fillId="82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92" fillId="82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187" fontId="1" fillId="61" borderId="0" applyNumberFormat="0" applyBorder="0" applyAlignment="0" applyProtection="0"/>
    <xf numFmtId="0" fontId="39" fillId="61" borderId="0" applyNumberFormat="0" applyBorder="0" applyAlignment="0" applyProtection="0"/>
    <xf numFmtId="0" fontId="92" fillId="84" borderId="0" applyNumberFormat="0" applyBorder="0" applyAlignment="0" applyProtection="0"/>
    <xf numFmtId="0" fontId="33" fillId="45" borderId="0" applyNumberFormat="0" applyBorder="0" applyAlignment="0" applyProtection="0"/>
    <xf numFmtId="0" fontId="41" fillId="45" borderId="0" applyNumberFormat="0" applyBorder="0" applyAlignment="0" applyProtection="0"/>
    <xf numFmtId="0" fontId="93" fillId="84" borderId="0" applyNumberFormat="0" applyBorder="0" applyAlignment="0" applyProtection="0"/>
    <xf numFmtId="0" fontId="33" fillId="45" borderId="0" applyNumberFormat="0" applyBorder="0" applyAlignment="0" applyProtection="0"/>
    <xf numFmtId="0" fontId="41" fillId="45" borderId="0" applyNumberFormat="0" applyBorder="0" applyAlignment="0" applyProtection="0"/>
    <xf numFmtId="187" fontId="41" fillId="45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1" fillId="15" borderId="0" applyNumberFormat="0" applyBorder="0" applyAlignment="0" applyProtection="0"/>
    <xf numFmtId="0" fontId="92" fillId="71" borderId="0" applyNumberFormat="0" applyBorder="0" applyAlignment="0" applyProtection="0"/>
    <xf numFmtId="0" fontId="1" fillId="58" borderId="0" applyNumberFormat="0" applyBorder="0" applyAlignment="0" applyProtection="0"/>
    <xf numFmtId="0" fontId="92" fillId="85" borderId="0" applyNumberFormat="0" applyBorder="0" applyAlignment="0" applyProtection="0"/>
    <xf numFmtId="0" fontId="41" fillId="46" borderId="0" applyNumberFormat="0" applyBorder="0" applyAlignment="0" applyProtection="0"/>
    <xf numFmtId="0" fontId="92" fillId="71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92" fillId="71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92" fillId="71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92" fillId="71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87" fontId="1" fillId="58" borderId="0" applyNumberFormat="0" applyBorder="0" applyAlignment="0" applyProtection="0"/>
    <xf numFmtId="0" fontId="39" fillId="58" borderId="0" applyNumberFormat="0" applyBorder="0" applyAlignment="0" applyProtection="0"/>
    <xf numFmtId="0" fontId="92" fillId="85" borderId="0" applyNumberFormat="0" applyBorder="0" applyAlignment="0" applyProtection="0"/>
    <xf numFmtId="0" fontId="33" fillId="46" borderId="0" applyNumberFormat="0" applyBorder="0" applyAlignment="0" applyProtection="0"/>
    <xf numFmtId="0" fontId="41" fillId="46" borderId="0" applyNumberFormat="0" applyBorder="0" applyAlignment="0" applyProtection="0"/>
    <xf numFmtId="0" fontId="93" fillId="85" borderId="0" applyNumberFormat="0" applyBorder="0" applyAlignment="0" applyProtection="0"/>
    <xf numFmtId="0" fontId="33" fillId="46" borderId="0" applyNumberFormat="0" applyBorder="0" applyAlignment="0" applyProtection="0"/>
    <xf numFmtId="0" fontId="41" fillId="46" borderId="0" applyNumberFormat="0" applyBorder="0" applyAlignment="0" applyProtection="0"/>
    <xf numFmtId="187" fontId="41" fillId="46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92" fillId="73" borderId="0" applyNumberFormat="0" applyBorder="0" applyAlignment="0" applyProtection="0"/>
    <xf numFmtId="0" fontId="1" fillId="19" borderId="0" applyNumberFormat="0" applyBorder="0" applyAlignment="0" applyProtection="0"/>
    <xf numFmtId="0" fontId="92" fillId="86" borderId="0" applyNumberFormat="0" applyBorder="0" applyAlignment="0" applyProtection="0"/>
    <xf numFmtId="0" fontId="41" fillId="47" borderId="0" applyNumberFormat="0" applyBorder="0" applyAlignment="0" applyProtection="0"/>
    <xf numFmtId="0" fontId="92" fillId="7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7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7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7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39" fillId="19" borderId="0" applyNumberFormat="0" applyBorder="0" applyAlignment="0" applyProtection="0"/>
    <xf numFmtId="0" fontId="92" fillId="86" borderId="0" applyNumberFormat="0" applyBorder="0" applyAlignment="0" applyProtection="0"/>
    <xf numFmtId="0" fontId="33" fillId="47" borderId="0" applyNumberFormat="0" applyBorder="0" applyAlignment="0" applyProtection="0"/>
    <xf numFmtId="0" fontId="41" fillId="47" borderId="0" applyNumberFormat="0" applyBorder="0" applyAlignment="0" applyProtection="0"/>
    <xf numFmtId="0" fontId="93" fillId="86" borderId="0" applyNumberFormat="0" applyBorder="0" applyAlignment="0" applyProtection="0"/>
    <xf numFmtId="0" fontId="33" fillId="47" borderId="0" applyNumberFormat="0" applyBorder="0" applyAlignment="0" applyProtection="0"/>
    <xf numFmtId="0" fontId="41" fillId="47" borderId="0" applyNumberFormat="0" applyBorder="0" applyAlignment="0" applyProtection="0"/>
    <xf numFmtId="187" fontId="41" fillId="47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1" fillId="23" borderId="0" applyNumberFormat="0" applyBorder="0" applyAlignment="0" applyProtection="0"/>
    <xf numFmtId="0" fontId="92" fillId="87" borderId="0" applyNumberFormat="0" applyBorder="0" applyAlignment="0" applyProtection="0"/>
    <xf numFmtId="0" fontId="1" fillId="60" borderId="0" applyNumberFormat="0" applyBorder="0" applyAlignment="0" applyProtection="0"/>
    <xf numFmtId="0" fontId="92" fillId="88" borderId="0" applyNumberFormat="0" applyBorder="0" applyAlignment="0" applyProtection="0"/>
    <xf numFmtId="0" fontId="92" fillId="89" borderId="0" applyNumberFormat="0" applyBorder="0" applyAlignment="0" applyProtection="0"/>
    <xf numFmtId="0" fontId="41" fillId="48" borderId="0" applyNumberFormat="0" applyBorder="0" applyAlignment="0" applyProtection="0"/>
    <xf numFmtId="0" fontId="92" fillId="87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92" fillId="87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92" fillId="87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92" fillId="87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187" fontId="1" fillId="60" borderId="0" applyNumberFormat="0" applyBorder="0" applyAlignment="0" applyProtection="0"/>
    <xf numFmtId="0" fontId="39" fillId="60" borderId="0" applyNumberFormat="0" applyBorder="0" applyAlignment="0" applyProtection="0"/>
    <xf numFmtId="0" fontId="92" fillId="89" borderId="0" applyNumberFormat="0" applyBorder="0" applyAlignment="0" applyProtection="0"/>
    <xf numFmtId="0" fontId="33" fillId="48" borderId="0" applyNumberFormat="0" applyBorder="0" applyAlignment="0" applyProtection="0"/>
    <xf numFmtId="0" fontId="41" fillId="48" borderId="0" applyNumberFormat="0" applyBorder="0" applyAlignment="0" applyProtection="0"/>
    <xf numFmtId="0" fontId="93" fillId="89" borderId="0" applyNumberFormat="0" applyBorder="0" applyAlignment="0" applyProtection="0"/>
    <xf numFmtId="0" fontId="33" fillId="48" borderId="0" applyNumberFormat="0" applyBorder="0" applyAlignment="0" applyProtection="0"/>
    <xf numFmtId="0" fontId="41" fillId="48" borderId="0" applyNumberFormat="0" applyBorder="0" applyAlignment="0" applyProtection="0"/>
    <xf numFmtId="187" fontId="41" fillId="48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1" fillId="27" borderId="0" applyNumberFormat="0" applyBorder="0" applyAlignment="0" applyProtection="0"/>
    <xf numFmtId="0" fontId="92" fillId="90" borderId="0" applyNumberFormat="0" applyBorder="0" applyAlignment="0" applyProtection="0"/>
    <xf numFmtId="0" fontId="1" fillId="58" borderId="0" applyNumberFormat="0" applyBorder="0" applyAlignment="0" applyProtection="0"/>
    <xf numFmtId="0" fontId="92" fillId="79" borderId="0" applyNumberFormat="0" applyBorder="0" applyAlignment="0" applyProtection="0"/>
    <xf numFmtId="0" fontId="41" fillId="43" borderId="0" applyNumberFormat="0" applyBorder="0" applyAlignment="0" applyProtection="0"/>
    <xf numFmtId="0" fontId="92" fillId="9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92" fillId="9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92" fillId="9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92" fillId="9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87" fontId="1" fillId="58" borderId="0" applyNumberFormat="0" applyBorder="0" applyAlignment="0" applyProtection="0"/>
    <xf numFmtId="0" fontId="39" fillId="58" borderId="0" applyNumberFormat="0" applyBorder="0" applyAlignment="0" applyProtection="0"/>
    <xf numFmtId="0" fontId="92" fillId="79" borderId="0" applyNumberFormat="0" applyBorder="0" applyAlignment="0" applyProtection="0"/>
    <xf numFmtId="0" fontId="33" fillId="43" borderId="0" applyNumberFormat="0" applyBorder="0" applyAlignment="0" applyProtection="0"/>
    <xf numFmtId="0" fontId="41" fillId="43" borderId="0" applyNumberFormat="0" applyBorder="0" applyAlignment="0" applyProtection="0"/>
    <xf numFmtId="0" fontId="93" fillId="79" borderId="0" applyNumberFormat="0" applyBorder="0" applyAlignment="0" applyProtection="0"/>
    <xf numFmtId="0" fontId="33" fillId="43" borderId="0" applyNumberFormat="0" applyBorder="0" applyAlignment="0" applyProtection="0"/>
    <xf numFmtId="0" fontId="41" fillId="43" borderId="0" applyNumberFormat="0" applyBorder="0" applyAlignment="0" applyProtection="0"/>
    <xf numFmtId="187" fontId="41" fillId="43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92" fillId="91" borderId="0" applyNumberFormat="0" applyBorder="0" applyAlignment="0" applyProtection="0"/>
    <xf numFmtId="0" fontId="1" fillId="31" borderId="0" applyNumberFormat="0" applyBorder="0" applyAlignment="0" applyProtection="0"/>
    <xf numFmtId="0" fontId="92" fillId="85" borderId="0" applyNumberFormat="0" applyBorder="0" applyAlignment="0" applyProtection="0"/>
    <xf numFmtId="0" fontId="41" fillId="46" borderId="0" applyNumberFormat="0" applyBorder="0" applyAlignment="0" applyProtection="0"/>
    <xf numFmtId="0" fontId="92" fillId="9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9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9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9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39" fillId="31" borderId="0" applyNumberFormat="0" applyBorder="0" applyAlignment="0" applyProtection="0"/>
    <xf numFmtId="0" fontId="92" fillId="85" borderId="0" applyNumberFormat="0" applyBorder="0" applyAlignment="0" applyProtection="0"/>
    <xf numFmtId="0" fontId="33" fillId="46" borderId="0" applyNumberFormat="0" applyBorder="0" applyAlignment="0" applyProtection="0"/>
    <xf numFmtId="0" fontId="41" fillId="46" borderId="0" applyNumberFormat="0" applyBorder="0" applyAlignment="0" applyProtection="0"/>
    <xf numFmtId="0" fontId="93" fillId="85" borderId="0" applyNumberFormat="0" applyBorder="0" applyAlignment="0" applyProtection="0"/>
    <xf numFmtId="0" fontId="33" fillId="46" borderId="0" applyNumberFormat="0" applyBorder="0" applyAlignment="0" applyProtection="0"/>
    <xf numFmtId="0" fontId="41" fillId="46" borderId="0" applyNumberFormat="0" applyBorder="0" applyAlignment="0" applyProtection="0"/>
    <xf numFmtId="187" fontId="41" fillId="46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1" fillId="35" borderId="0" applyNumberFormat="0" applyBorder="0" applyAlignment="0" applyProtection="0"/>
    <xf numFmtId="0" fontId="92" fillId="92" borderId="0" applyNumberFormat="0" applyBorder="0" applyAlignment="0" applyProtection="0"/>
    <xf numFmtId="0" fontId="1" fillId="60" borderId="0" applyNumberFormat="0" applyBorder="0" applyAlignment="0" applyProtection="0"/>
    <xf numFmtId="0" fontId="92" fillId="93" borderId="0" applyNumberFormat="0" applyBorder="0" applyAlignment="0" applyProtection="0"/>
    <xf numFmtId="0" fontId="92" fillId="94" borderId="0" applyNumberFormat="0" applyBorder="0" applyAlignment="0" applyProtection="0"/>
    <xf numFmtId="0" fontId="41" fillId="49" borderId="0" applyNumberFormat="0" applyBorder="0" applyAlignment="0" applyProtection="0"/>
    <xf numFmtId="0" fontId="92" fillId="92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92" fillId="92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92" fillId="92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92" fillId="92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187" fontId="1" fillId="60" borderId="0" applyNumberFormat="0" applyBorder="0" applyAlignment="0" applyProtection="0"/>
    <xf numFmtId="0" fontId="39" fillId="60" borderId="0" applyNumberFormat="0" applyBorder="0" applyAlignment="0" applyProtection="0"/>
    <xf numFmtId="0" fontId="92" fillId="94" borderId="0" applyNumberFormat="0" applyBorder="0" applyAlignment="0" applyProtection="0"/>
    <xf numFmtId="0" fontId="33" fillId="49" borderId="0" applyNumberFormat="0" applyBorder="0" applyAlignment="0" applyProtection="0"/>
    <xf numFmtId="0" fontId="41" fillId="49" borderId="0" applyNumberFormat="0" applyBorder="0" applyAlignment="0" applyProtection="0"/>
    <xf numFmtId="0" fontId="93" fillId="94" borderId="0" applyNumberFormat="0" applyBorder="0" applyAlignment="0" applyProtection="0"/>
    <xf numFmtId="0" fontId="33" fillId="49" borderId="0" applyNumberFormat="0" applyBorder="0" applyAlignment="0" applyProtection="0"/>
    <xf numFmtId="0" fontId="41" fillId="49" borderId="0" applyNumberFormat="0" applyBorder="0" applyAlignment="0" applyProtection="0"/>
    <xf numFmtId="187" fontId="41" fillId="49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32" fillId="16" borderId="0" applyNumberFormat="0" applyBorder="0" applyAlignment="0" applyProtection="0"/>
    <xf numFmtId="0" fontId="94" fillId="95" borderId="0" applyNumberFormat="0" applyBorder="0" applyAlignment="0" applyProtection="0"/>
    <xf numFmtId="0" fontId="94" fillId="96" borderId="0" applyNumberFormat="0" applyBorder="0" applyAlignment="0" applyProtection="0"/>
    <xf numFmtId="0" fontId="58" fillId="50" borderId="0" applyNumberFormat="0" applyBorder="0" applyAlignment="0" applyProtection="0"/>
    <xf numFmtId="0" fontId="94" fillId="95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187" fontId="32" fillId="52" borderId="0" applyNumberFormat="0" applyBorder="0" applyAlignment="0" applyProtection="0"/>
    <xf numFmtId="0" fontId="85" fillId="50" borderId="0" applyNumberFormat="0" applyBorder="0" applyAlignment="0" applyProtection="0"/>
    <xf numFmtId="0" fontId="94" fillId="96" borderId="0" applyNumberFormat="0" applyBorder="0" applyAlignment="0" applyProtection="0"/>
    <xf numFmtId="0" fontId="85" fillId="50" borderId="0" applyNumberFormat="0" applyBorder="0" applyAlignment="0" applyProtection="0"/>
    <xf numFmtId="0" fontId="58" fillId="50" borderId="0" applyNumberFormat="0" applyBorder="0" applyAlignment="0" applyProtection="0"/>
    <xf numFmtId="0" fontId="95" fillId="96" borderId="0" applyNumberFormat="0" applyBorder="0" applyAlignment="0" applyProtection="0"/>
    <xf numFmtId="0" fontId="85" fillId="50" borderId="0" applyNumberFormat="0" applyBorder="0" applyAlignment="0" applyProtection="0"/>
    <xf numFmtId="0" fontId="58" fillId="50" borderId="0" applyNumberFormat="0" applyBorder="0" applyAlignment="0" applyProtection="0"/>
    <xf numFmtId="187" fontId="58" fillId="50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94" fillId="86" borderId="0" applyNumberFormat="0" applyBorder="0" applyAlignment="0" applyProtection="0"/>
    <xf numFmtId="0" fontId="94" fillId="86" borderId="0" applyNumberFormat="0" applyBorder="0" applyAlignment="0" applyProtection="0"/>
    <xf numFmtId="0" fontId="58" fillId="47" borderId="0" applyNumberFormat="0" applyBorder="0" applyAlignment="0" applyProtection="0"/>
    <xf numFmtId="0" fontId="94" fillId="86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187" fontId="32" fillId="20" borderId="0" applyNumberFormat="0" applyBorder="0" applyAlignment="0" applyProtection="0"/>
    <xf numFmtId="0" fontId="85" fillId="47" borderId="0" applyNumberFormat="0" applyBorder="0" applyAlignment="0" applyProtection="0"/>
    <xf numFmtId="0" fontId="94" fillId="86" borderId="0" applyNumberFormat="0" applyBorder="0" applyAlignment="0" applyProtection="0"/>
    <xf numFmtId="0" fontId="85" fillId="47" borderId="0" applyNumberFormat="0" applyBorder="0" applyAlignment="0" applyProtection="0"/>
    <xf numFmtId="0" fontId="58" fillId="47" borderId="0" applyNumberFormat="0" applyBorder="0" applyAlignment="0" applyProtection="0"/>
    <xf numFmtId="0" fontId="95" fillId="86" borderId="0" applyNumberFormat="0" applyBorder="0" applyAlignment="0" applyProtection="0"/>
    <xf numFmtId="0" fontId="85" fillId="47" borderId="0" applyNumberFormat="0" applyBorder="0" applyAlignment="0" applyProtection="0"/>
    <xf numFmtId="0" fontId="58" fillId="47" borderId="0" applyNumberFormat="0" applyBorder="0" applyAlignment="0" applyProtection="0"/>
    <xf numFmtId="187" fontId="58" fillId="47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32" fillId="24" borderId="0" applyNumberFormat="0" applyBorder="0" applyAlignment="0" applyProtection="0"/>
    <xf numFmtId="0" fontId="94" fillId="97" borderId="0" applyNumberFormat="0" applyBorder="0" applyAlignment="0" applyProtection="0"/>
    <xf numFmtId="0" fontId="94" fillId="89" borderId="0" applyNumberFormat="0" applyBorder="0" applyAlignment="0" applyProtection="0"/>
    <xf numFmtId="0" fontId="58" fillId="48" borderId="0" applyNumberFormat="0" applyBorder="0" applyAlignment="0" applyProtection="0"/>
    <xf numFmtId="0" fontId="94" fillId="97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187" fontId="32" fillId="60" borderId="0" applyNumberFormat="0" applyBorder="0" applyAlignment="0" applyProtection="0"/>
    <xf numFmtId="0" fontId="94" fillId="98" borderId="0" applyNumberFormat="0" applyBorder="0" applyAlignment="0" applyProtection="0"/>
    <xf numFmtId="0" fontId="85" fillId="48" borderId="0" applyNumberFormat="0" applyBorder="0" applyAlignment="0" applyProtection="0"/>
    <xf numFmtId="0" fontId="94" fillId="89" borderId="0" applyNumberFormat="0" applyBorder="0" applyAlignment="0" applyProtection="0"/>
    <xf numFmtId="0" fontId="85" fillId="48" borderId="0" applyNumberFormat="0" applyBorder="0" applyAlignment="0" applyProtection="0"/>
    <xf numFmtId="0" fontId="58" fillId="48" borderId="0" applyNumberFormat="0" applyBorder="0" applyAlignment="0" applyProtection="0"/>
    <xf numFmtId="0" fontId="95" fillId="89" borderId="0" applyNumberFormat="0" applyBorder="0" applyAlignment="0" applyProtection="0"/>
    <xf numFmtId="0" fontId="85" fillId="48" borderId="0" applyNumberFormat="0" applyBorder="0" applyAlignment="0" applyProtection="0"/>
    <xf numFmtId="0" fontId="58" fillId="48" borderId="0" applyNumberFormat="0" applyBorder="0" applyAlignment="0" applyProtection="0"/>
    <xf numFmtId="187" fontId="58" fillId="48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32" fillId="28" borderId="0" applyNumberFormat="0" applyBorder="0" applyAlignment="0" applyProtection="0"/>
    <xf numFmtId="0" fontId="94" fillId="79" borderId="0" applyNumberFormat="0" applyBorder="0" applyAlignment="0" applyProtection="0"/>
    <xf numFmtId="0" fontId="94" fillId="72" borderId="0" applyNumberFormat="0" applyBorder="0" applyAlignment="0" applyProtection="0"/>
    <xf numFmtId="0" fontId="58" fillId="51" borderId="0" applyNumberFormat="0" applyBorder="0" applyAlignment="0" applyProtection="0"/>
    <xf numFmtId="0" fontId="94" fillId="79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187" fontId="32" fillId="58" borderId="0" applyNumberFormat="0" applyBorder="0" applyAlignment="0" applyProtection="0"/>
    <xf numFmtId="0" fontId="94" fillId="99" borderId="0" applyNumberFormat="0" applyBorder="0" applyAlignment="0" applyProtection="0"/>
    <xf numFmtId="0" fontId="85" fillId="51" borderId="0" applyNumberFormat="0" applyBorder="0" applyAlignment="0" applyProtection="0"/>
    <xf numFmtId="0" fontId="94" fillId="72" borderId="0" applyNumberFormat="0" applyBorder="0" applyAlignment="0" applyProtection="0"/>
    <xf numFmtId="0" fontId="85" fillId="51" borderId="0" applyNumberFormat="0" applyBorder="0" applyAlignment="0" applyProtection="0"/>
    <xf numFmtId="0" fontId="58" fillId="51" borderId="0" applyNumberFormat="0" applyBorder="0" applyAlignment="0" applyProtection="0"/>
    <xf numFmtId="0" fontId="95" fillId="72" borderId="0" applyNumberFormat="0" applyBorder="0" applyAlignment="0" applyProtection="0"/>
    <xf numFmtId="0" fontId="85" fillId="51" borderId="0" applyNumberFormat="0" applyBorder="0" applyAlignment="0" applyProtection="0"/>
    <xf numFmtId="0" fontId="58" fillId="51" borderId="0" applyNumberFormat="0" applyBorder="0" applyAlignment="0" applyProtection="0"/>
    <xf numFmtId="187" fontId="58" fillId="51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94" fillId="85" borderId="0" applyNumberFormat="0" applyBorder="0" applyAlignment="0" applyProtection="0"/>
    <xf numFmtId="0" fontId="94" fillId="100" borderId="0" applyNumberFormat="0" applyBorder="0" applyAlignment="0" applyProtection="0"/>
    <xf numFmtId="0" fontId="58" fillId="52" borderId="0" applyNumberFormat="0" applyBorder="0" applyAlignment="0" applyProtection="0"/>
    <xf numFmtId="0" fontId="94" fillId="85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187" fontId="32" fillId="32" borderId="0" applyNumberFormat="0" applyBorder="0" applyAlignment="0" applyProtection="0"/>
    <xf numFmtId="0" fontId="85" fillId="52" borderId="0" applyNumberFormat="0" applyBorder="0" applyAlignment="0" applyProtection="0"/>
    <xf numFmtId="0" fontId="94" fillId="100" borderId="0" applyNumberFormat="0" applyBorder="0" applyAlignment="0" applyProtection="0"/>
    <xf numFmtId="0" fontId="85" fillId="52" borderId="0" applyNumberFormat="0" applyBorder="0" applyAlignment="0" applyProtection="0"/>
    <xf numFmtId="0" fontId="58" fillId="52" borderId="0" applyNumberFormat="0" applyBorder="0" applyAlignment="0" applyProtection="0"/>
    <xf numFmtId="0" fontId="95" fillId="100" borderId="0" applyNumberFormat="0" applyBorder="0" applyAlignment="0" applyProtection="0"/>
    <xf numFmtId="0" fontId="85" fillId="52" borderId="0" applyNumberFormat="0" applyBorder="0" applyAlignment="0" applyProtection="0"/>
    <xf numFmtId="0" fontId="58" fillId="52" borderId="0" applyNumberFormat="0" applyBorder="0" applyAlignment="0" applyProtection="0"/>
    <xf numFmtId="187" fontId="58" fillId="52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32" fillId="36" borderId="0" applyNumberFormat="0" applyBorder="0" applyAlignment="0" applyProtection="0"/>
    <xf numFmtId="0" fontId="94" fillId="94" borderId="0" applyNumberFormat="0" applyBorder="0" applyAlignment="0" applyProtection="0"/>
    <xf numFmtId="0" fontId="94" fillId="101" borderId="0" applyNumberFormat="0" applyBorder="0" applyAlignment="0" applyProtection="0"/>
    <xf numFmtId="0" fontId="58" fillId="53" borderId="0" applyNumberFormat="0" applyBorder="0" applyAlignment="0" applyProtection="0"/>
    <xf numFmtId="0" fontId="94" fillId="94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187" fontId="32" fillId="47" borderId="0" applyNumberFormat="0" applyBorder="0" applyAlignment="0" applyProtection="0"/>
    <xf numFmtId="0" fontId="85" fillId="53" borderId="0" applyNumberFormat="0" applyBorder="0" applyAlignment="0" applyProtection="0"/>
    <xf numFmtId="0" fontId="94" fillId="101" borderId="0" applyNumberFormat="0" applyBorder="0" applyAlignment="0" applyProtection="0"/>
    <xf numFmtId="0" fontId="85" fillId="53" borderId="0" applyNumberFormat="0" applyBorder="0" applyAlignment="0" applyProtection="0"/>
    <xf numFmtId="0" fontId="58" fillId="53" borderId="0" applyNumberFormat="0" applyBorder="0" applyAlignment="0" applyProtection="0"/>
    <xf numFmtId="0" fontId="95" fillId="101" borderId="0" applyNumberFormat="0" applyBorder="0" applyAlignment="0" applyProtection="0"/>
    <xf numFmtId="0" fontId="85" fillId="53" borderId="0" applyNumberFormat="0" applyBorder="0" applyAlignment="0" applyProtection="0"/>
    <xf numFmtId="0" fontId="58" fillId="53" borderId="0" applyNumberFormat="0" applyBorder="0" applyAlignment="0" applyProtection="0"/>
    <xf numFmtId="187" fontId="58" fillId="53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32" fillId="13" borderId="0" applyNumberFormat="0" applyBorder="0" applyAlignment="0" applyProtection="0"/>
    <xf numFmtId="0" fontId="94" fillId="102" borderId="0" applyNumberFormat="0" applyBorder="0" applyAlignment="0" applyProtection="0"/>
    <xf numFmtId="0" fontId="94" fillId="103" borderId="0" applyNumberFormat="0" applyBorder="0" applyAlignment="0" applyProtection="0"/>
    <xf numFmtId="0" fontId="58" fillId="54" borderId="0" applyNumberFormat="0" applyBorder="0" applyAlignment="0" applyProtection="0"/>
    <xf numFmtId="0" fontId="94" fillId="104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187" fontId="32" fillId="52" borderId="0" applyNumberFormat="0" applyBorder="0" applyAlignment="0" applyProtection="0"/>
    <xf numFmtId="0" fontId="94" fillId="105" borderId="0" applyNumberFormat="0" applyBorder="0" applyAlignment="0" applyProtection="0"/>
    <xf numFmtId="0" fontId="85" fillId="54" borderId="0" applyNumberFormat="0" applyBorder="0" applyAlignment="0" applyProtection="0"/>
    <xf numFmtId="0" fontId="94" fillId="103" borderId="0" applyNumberFormat="0" applyBorder="0" applyAlignment="0" applyProtection="0"/>
    <xf numFmtId="0" fontId="85" fillId="54" borderId="0" applyNumberFormat="0" applyBorder="0" applyAlignment="0" applyProtection="0"/>
    <xf numFmtId="0" fontId="58" fillId="54" borderId="0" applyNumberFormat="0" applyBorder="0" applyAlignment="0" applyProtection="0"/>
    <xf numFmtId="0" fontId="95" fillId="103" borderId="0" applyNumberFormat="0" applyBorder="0" applyAlignment="0" applyProtection="0"/>
    <xf numFmtId="0" fontId="85" fillId="54" borderId="0" applyNumberFormat="0" applyBorder="0" applyAlignment="0" applyProtection="0"/>
    <xf numFmtId="0" fontId="58" fillId="54" borderId="0" applyNumberFormat="0" applyBorder="0" applyAlignment="0" applyProtection="0"/>
    <xf numFmtId="187" fontId="58" fillId="54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94" fillId="106" borderId="0" applyNumberFormat="0" applyBorder="0" applyAlignment="0" applyProtection="0"/>
    <xf numFmtId="0" fontId="94" fillId="107" borderId="0" applyNumberFormat="0" applyBorder="0" applyAlignment="0" applyProtection="0"/>
    <xf numFmtId="0" fontId="58" fillId="55" borderId="0" applyNumberFormat="0" applyBorder="0" applyAlignment="0" applyProtection="0"/>
    <xf numFmtId="0" fontId="94" fillId="106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187" fontId="32" fillId="17" borderId="0" applyNumberFormat="0" applyBorder="0" applyAlignment="0" applyProtection="0"/>
    <xf numFmtId="0" fontId="94" fillId="108" borderId="0" applyNumberFormat="0" applyBorder="0" applyAlignment="0" applyProtection="0"/>
    <xf numFmtId="0" fontId="85" fillId="55" borderId="0" applyNumberFormat="0" applyBorder="0" applyAlignment="0" applyProtection="0"/>
    <xf numFmtId="0" fontId="94" fillId="107" borderId="0" applyNumberFormat="0" applyBorder="0" applyAlignment="0" applyProtection="0"/>
    <xf numFmtId="0" fontId="85" fillId="55" borderId="0" applyNumberFormat="0" applyBorder="0" applyAlignment="0" applyProtection="0"/>
    <xf numFmtId="0" fontId="58" fillId="55" borderId="0" applyNumberFormat="0" applyBorder="0" applyAlignment="0" applyProtection="0"/>
    <xf numFmtId="0" fontId="95" fillId="107" borderId="0" applyNumberFormat="0" applyBorder="0" applyAlignment="0" applyProtection="0"/>
    <xf numFmtId="0" fontId="85" fillId="55" borderId="0" applyNumberFormat="0" applyBorder="0" applyAlignment="0" applyProtection="0"/>
    <xf numFmtId="0" fontId="58" fillId="55" borderId="0" applyNumberFormat="0" applyBorder="0" applyAlignment="0" applyProtection="0"/>
    <xf numFmtId="187" fontId="58" fillId="55" borderId="0" applyNumberFormat="0" applyBorder="0" applyAlignment="0" applyProtection="0"/>
    <xf numFmtId="0" fontId="94" fillId="109" borderId="0" applyNumberFormat="0" applyBorder="0" applyAlignment="0" applyProtection="0"/>
    <xf numFmtId="0" fontId="94" fillId="110" borderId="0" applyNumberFormat="0" applyBorder="0" applyAlignment="0" applyProtection="0"/>
    <xf numFmtId="0" fontId="58" fillId="56" borderId="0" applyNumberFormat="0" applyBorder="0" applyAlignment="0" applyProtection="0"/>
    <xf numFmtId="0" fontId="94" fillId="109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187" fontId="32" fillId="21" borderId="0" applyNumberFormat="0" applyBorder="0" applyAlignment="0" applyProtection="0"/>
    <xf numFmtId="0" fontId="94" fillId="111" borderId="0" applyNumberFormat="0" applyBorder="0" applyAlignment="0" applyProtection="0"/>
    <xf numFmtId="0" fontId="85" fillId="56" borderId="0" applyNumberFormat="0" applyBorder="0" applyAlignment="0" applyProtection="0"/>
    <xf numFmtId="0" fontId="94" fillId="110" borderId="0" applyNumberFormat="0" applyBorder="0" applyAlignment="0" applyProtection="0"/>
    <xf numFmtId="0" fontId="85" fillId="56" borderId="0" applyNumberFormat="0" applyBorder="0" applyAlignment="0" applyProtection="0"/>
    <xf numFmtId="0" fontId="58" fillId="56" borderId="0" applyNumberFormat="0" applyBorder="0" applyAlignment="0" applyProtection="0"/>
    <xf numFmtId="0" fontId="95" fillId="110" borderId="0" applyNumberFormat="0" applyBorder="0" applyAlignment="0" applyProtection="0"/>
    <xf numFmtId="0" fontId="85" fillId="56" borderId="0" applyNumberFormat="0" applyBorder="0" applyAlignment="0" applyProtection="0"/>
    <xf numFmtId="0" fontId="58" fillId="56" borderId="0" applyNumberFormat="0" applyBorder="0" applyAlignment="0" applyProtection="0"/>
    <xf numFmtId="187" fontId="58" fillId="56" borderId="0" applyNumberFormat="0" applyBorder="0" applyAlignment="0" applyProtection="0"/>
    <xf numFmtId="0" fontId="42" fillId="112" borderId="0" applyNumberFormat="0" applyBorder="0" applyAlignment="0" applyProtection="0"/>
    <xf numFmtId="0" fontId="42" fillId="112" borderId="0" applyNumberFormat="0" applyBorder="0" applyAlignment="0" applyProtection="0"/>
    <xf numFmtId="0" fontId="42" fillId="112" borderId="0" applyNumberFormat="0" applyBorder="0" applyAlignment="0" applyProtection="0"/>
    <xf numFmtId="0" fontId="42" fillId="112" borderId="0" applyNumberFormat="0" applyBorder="0" applyAlignment="0" applyProtection="0"/>
    <xf numFmtId="0" fontId="42" fillId="112" borderId="0" applyNumberFormat="0" applyBorder="0" applyAlignment="0" applyProtection="0"/>
    <xf numFmtId="0" fontId="42" fillId="112" borderId="0" applyNumberFormat="0" applyBorder="0" applyAlignment="0" applyProtection="0"/>
    <xf numFmtId="0" fontId="32" fillId="25" borderId="0" applyNumberFormat="0" applyBorder="0" applyAlignment="0" applyProtection="0"/>
    <xf numFmtId="0" fontId="94" fillId="113" borderId="0" applyNumberFormat="0" applyBorder="0" applyAlignment="0" applyProtection="0"/>
    <xf numFmtId="0" fontId="94" fillId="72" borderId="0" applyNumberFormat="0" applyBorder="0" applyAlignment="0" applyProtection="0"/>
    <xf numFmtId="0" fontId="58" fillId="51" borderId="0" applyNumberFormat="0" applyBorder="0" applyAlignment="0" applyProtection="0"/>
    <xf numFmtId="0" fontId="94" fillId="113" borderId="0" applyNumberFormat="0" applyBorder="0" applyAlignment="0" applyProtection="0"/>
    <xf numFmtId="0" fontId="32" fillId="112" borderId="0" applyNumberFormat="0" applyBorder="0" applyAlignment="0" applyProtection="0"/>
    <xf numFmtId="0" fontId="32" fillId="112" borderId="0" applyNumberFormat="0" applyBorder="0" applyAlignment="0" applyProtection="0"/>
    <xf numFmtId="187" fontId="32" fillId="112" borderId="0" applyNumberFormat="0" applyBorder="0" applyAlignment="0" applyProtection="0"/>
    <xf numFmtId="0" fontId="94" fillId="114" borderId="0" applyNumberFormat="0" applyBorder="0" applyAlignment="0" applyProtection="0"/>
    <xf numFmtId="0" fontId="85" fillId="51" borderId="0" applyNumberFormat="0" applyBorder="0" applyAlignment="0" applyProtection="0"/>
    <xf numFmtId="0" fontId="94" fillId="72" borderId="0" applyNumberFormat="0" applyBorder="0" applyAlignment="0" applyProtection="0"/>
    <xf numFmtId="0" fontId="85" fillId="51" borderId="0" applyNumberFormat="0" applyBorder="0" applyAlignment="0" applyProtection="0"/>
    <xf numFmtId="0" fontId="58" fillId="51" borderId="0" applyNumberFormat="0" applyBorder="0" applyAlignment="0" applyProtection="0"/>
    <xf numFmtId="0" fontId="95" fillId="72" borderId="0" applyNumberFormat="0" applyBorder="0" applyAlignment="0" applyProtection="0"/>
    <xf numFmtId="0" fontId="85" fillId="51" borderId="0" applyNumberFormat="0" applyBorder="0" applyAlignment="0" applyProtection="0"/>
    <xf numFmtId="0" fontId="58" fillId="51" borderId="0" applyNumberFormat="0" applyBorder="0" applyAlignment="0" applyProtection="0"/>
    <xf numFmtId="187" fontId="58" fillId="51" borderId="0" applyNumberFormat="0" applyBorder="0" applyAlignment="0" applyProtection="0"/>
    <xf numFmtId="0" fontId="42" fillId="112" borderId="0" applyNumberFormat="0" applyBorder="0" applyAlignment="0" applyProtection="0"/>
    <xf numFmtId="0" fontId="42" fillId="112" borderId="0" applyNumberFormat="0" applyBorder="0" applyAlignment="0" applyProtection="0"/>
    <xf numFmtId="0" fontId="42" fillId="112" borderId="0" applyNumberFormat="0" applyBorder="0" applyAlignment="0" applyProtection="0"/>
    <xf numFmtId="0" fontId="94" fillId="100" borderId="0" applyNumberFormat="0" applyBorder="0" applyAlignment="0" applyProtection="0"/>
    <xf numFmtId="0" fontId="94" fillId="100" borderId="0" applyNumberFormat="0" applyBorder="0" applyAlignment="0" applyProtection="0"/>
    <xf numFmtId="0" fontId="58" fillId="52" borderId="0" applyNumberFormat="0" applyBorder="0" applyAlignment="0" applyProtection="0"/>
    <xf numFmtId="0" fontId="94" fillId="100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187" fontId="32" fillId="29" borderId="0" applyNumberFormat="0" applyBorder="0" applyAlignment="0" applyProtection="0"/>
    <xf numFmtId="0" fontId="85" fillId="52" borderId="0" applyNumberFormat="0" applyBorder="0" applyAlignment="0" applyProtection="0"/>
    <xf numFmtId="0" fontId="94" fillId="100" borderId="0" applyNumberFormat="0" applyBorder="0" applyAlignment="0" applyProtection="0"/>
    <xf numFmtId="0" fontId="85" fillId="52" borderId="0" applyNumberFormat="0" applyBorder="0" applyAlignment="0" applyProtection="0"/>
    <xf numFmtId="0" fontId="58" fillId="52" borderId="0" applyNumberFormat="0" applyBorder="0" applyAlignment="0" applyProtection="0"/>
    <xf numFmtId="0" fontId="95" fillId="100" borderId="0" applyNumberFormat="0" applyBorder="0" applyAlignment="0" applyProtection="0"/>
    <xf numFmtId="0" fontId="85" fillId="52" borderId="0" applyNumberFormat="0" applyBorder="0" applyAlignment="0" applyProtection="0"/>
    <xf numFmtId="0" fontId="58" fillId="52" borderId="0" applyNumberFormat="0" applyBorder="0" applyAlignment="0" applyProtection="0"/>
    <xf numFmtId="187" fontId="58" fillId="52" borderId="0" applyNumberFormat="0" applyBorder="0" applyAlignment="0" applyProtection="0"/>
    <xf numFmtId="0" fontId="94" fillId="101" borderId="0" applyNumberFormat="0" applyBorder="0" applyAlignment="0" applyProtection="0"/>
    <xf numFmtId="0" fontId="94" fillId="115" borderId="0" applyNumberFormat="0" applyBorder="0" applyAlignment="0" applyProtection="0"/>
    <xf numFmtId="0" fontId="58" fillId="57" borderId="0" applyNumberFormat="0" applyBorder="0" applyAlignment="0" applyProtection="0"/>
    <xf numFmtId="0" fontId="94" fillId="101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187" fontId="32" fillId="33" borderId="0" applyNumberFormat="0" applyBorder="0" applyAlignment="0" applyProtection="0"/>
    <xf numFmtId="0" fontId="94" fillId="116" borderId="0" applyNumberFormat="0" applyBorder="0" applyAlignment="0" applyProtection="0"/>
    <xf numFmtId="0" fontId="85" fillId="57" borderId="0" applyNumberFormat="0" applyBorder="0" applyAlignment="0" applyProtection="0"/>
    <xf numFmtId="0" fontId="94" fillId="115" borderId="0" applyNumberFormat="0" applyBorder="0" applyAlignment="0" applyProtection="0"/>
    <xf numFmtId="0" fontId="85" fillId="57" borderId="0" applyNumberFormat="0" applyBorder="0" applyAlignment="0" applyProtection="0"/>
    <xf numFmtId="0" fontId="58" fillId="57" borderId="0" applyNumberFormat="0" applyBorder="0" applyAlignment="0" applyProtection="0"/>
    <xf numFmtId="0" fontId="95" fillId="115" borderId="0" applyNumberFormat="0" applyBorder="0" applyAlignment="0" applyProtection="0"/>
    <xf numFmtId="0" fontId="85" fillId="57" borderId="0" applyNumberFormat="0" applyBorder="0" applyAlignment="0" applyProtection="0"/>
    <xf numFmtId="0" fontId="58" fillId="57" borderId="0" applyNumberFormat="0" applyBorder="0" applyAlignment="0" applyProtection="0"/>
    <xf numFmtId="187" fontId="58" fillId="57" borderId="0" applyNumberFormat="0" applyBorder="0" applyAlignment="0" applyProtection="0"/>
    <xf numFmtId="0" fontId="96" fillId="117" borderId="0" applyNumberFormat="0" applyBorder="0" applyAlignment="0" applyProtection="0"/>
    <xf numFmtId="0" fontId="97" fillId="73" borderId="0" applyNumberFormat="0" applyBorder="0" applyAlignment="0" applyProtection="0"/>
    <xf numFmtId="0" fontId="59" fillId="41" borderId="0" applyNumberFormat="0" applyBorder="0" applyAlignment="0" applyProtection="0"/>
    <xf numFmtId="0" fontId="96" fillId="11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187" fontId="23" fillId="7" borderId="0" applyNumberFormat="0" applyBorder="0" applyAlignment="0" applyProtection="0"/>
    <xf numFmtId="0" fontId="96" fillId="118" borderId="0" applyNumberFormat="0" applyBorder="0" applyAlignment="0" applyProtection="0"/>
    <xf numFmtId="0" fontId="97" fillId="73" borderId="0" applyNumberFormat="0" applyBorder="0" applyAlignment="0" applyProtection="0"/>
    <xf numFmtId="0" fontId="139" fillId="41" borderId="0" applyNumberFormat="0" applyBorder="0" applyAlignment="0" applyProtection="0"/>
    <xf numFmtId="0" fontId="59" fillId="41" borderId="0" applyNumberFormat="0" applyBorder="0" applyAlignment="0" applyProtection="0"/>
    <xf numFmtId="0" fontId="98" fillId="73" borderId="0" applyNumberFormat="0" applyBorder="0" applyAlignment="0" applyProtection="0"/>
    <xf numFmtId="0" fontId="139" fillId="41" borderId="0" applyNumberFormat="0" applyBorder="0" applyAlignment="0" applyProtection="0"/>
    <xf numFmtId="0" fontId="59" fillId="41" borderId="0" applyNumberFormat="0" applyBorder="0" applyAlignment="0" applyProtection="0"/>
    <xf numFmtId="187" fontId="59" fillId="41" borderId="0" applyNumberFormat="0" applyBorder="0" applyAlignment="0" applyProtection="0"/>
    <xf numFmtId="0" fontId="44" fillId="45" borderId="10" applyNumberFormat="0" applyAlignment="0" applyProtection="0"/>
    <xf numFmtId="0" fontId="44" fillId="45" borderId="10" applyNumberFormat="0" applyAlignment="0" applyProtection="0"/>
    <xf numFmtId="0" fontId="44" fillId="45" borderId="10" applyNumberFormat="0" applyAlignment="0" applyProtection="0"/>
    <xf numFmtId="0" fontId="44" fillId="45" borderId="10" applyNumberFormat="0" applyAlignment="0" applyProtection="0"/>
    <xf numFmtId="0" fontId="44" fillId="45" borderId="10" applyNumberFormat="0" applyAlignment="0" applyProtection="0"/>
    <xf numFmtId="0" fontId="44" fillId="45" borderId="10" applyNumberFormat="0" applyAlignment="0" applyProtection="0"/>
    <xf numFmtId="0" fontId="27" fillId="10" borderId="10" applyNumberFormat="0" applyAlignment="0" applyProtection="0"/>
    <xf numFmtId="0" fontId="99" fillId="119" borderId="41" applyNumberFormat="0" applyAlignment="0" applyProtection="0"/>
    <xf numFmtId="0" fontId="100" fillId="120" borderId="17" applyNumberFormat="0" applyAlignment="0" applyProtection="0"/>
    <xf numFmtId="0" fontId="60" fillId="58" borderId="17" applyNumberFormat="0" applyAlignment="0" applyProtection="0"/>
    <xf numFmtId="0" fontId="99" fillId="119" borderId="41" applyNumberFormat="0" applyAlignment="0" applyProtection="0"/>
    <xf numFmtId="0" fontId="27" fillId="45" borderId="10" applyNumberFormat="0" applyAlignment="0" applyProtection="0"/>
    <xf numFmtId="0" fontId="27" fillId="45" borderId="10" applyNumberFormat="0" applyAlignment="0" applyProtection="0"/>
    <xf numFmtId="187" fontId="27" fillId="45" borderId="10" applyNumberFormat="0" applyAlignment="0" applyProtection="0"/>
    <xf numFmtId="0" fontId="152" fillId="121" borderId="42" applyNumberFormat="0" applyAlignment="0" applyProtection="0"/>
    <xf numFmtId="0" fontId="100" fillId="120" borderId="17" applyNumberFormat="0" applyAlignment="0" applyProtection="0"/>
    <xf numFmtId="0" fontId="140" fillId="58" borderId="17" applyNumberFormat="0" applyAlignment="0" applyProtection="0"/>
    <xf numFmtId="0" fontId="60" fillId="58" borderId="17" applyNumberFormat="0" applyAlignment="0" applyProtection="0"/>
    <xf numFmtId="0" fontId="101" fillId="120" borderId="17" applyNumberFormat="0" applyAlignment="0" applyProtection="0"/>
    <xf numFmtId="0" fontId="140" fillId="58" borderId="17" applyNumberFormat="0" applyAlignment="0" applyProtection="0"/>
    <xf numFmtId="0" fontId="60" fillId="58" borderId="17" applyNumberFormat="0" applyAlignment="0" applyProtection="0"/>
    <xf numFmtId="187" fontId="60" fillId="58" borderId="17" applyNumberFormat="0" applyAlignment="0" applyProtection="0"/>
    <xf numFmtId="0" fontId="44" fillId="45" borderId="10" applyNumberFormat="0" applyAlignment="0" applyProtection="0"/>
    <xf numFmtId="0" fontId="44" fillId="45" borderId="10" applyNumberFormat="0" applyAlignment="0" applyProtection="0"/>
    <xf numFmtId="0" fontId="44" fillId="45" borderId="10" applyNumberFormat="0" applyAlignment="0" applyProtection="0"/>
    <xf numFmtId="0" fontId="102" fillId="96" borderId="18" applyNumberFormat="0" applyAlignment="0" applyProtection="0"/>
    <xf numFmtId="0" fontId="102" fillId="122" borderId="18" applyNumberFormat="0" applyAlignment="0" applyProtection="0"/>
    <xf numFmtId="0" fontId="61" fillId="59" borderId="18" applyNumberFormat="0" applyAlignment="0" applyProtection="0"/>
    <xf numFmtId="0" fontId="102" fillId="96" borderId="18" applyNumberFormat="0" applyAlignment="0" applyProtection="0"/>
    <xf numFmtId="0" fontId="29" fillId="11" borderId="13" applyNumberFormat="0" applyAlignment="0" applyProtection="0"/>
    <xf numFmtId="0" fontId="29" fillId="11" borderId="13" applyNumberFormat="0" applyAlignment="0" applyProtection="0"/>
    <xf numFmtId="187" fontId="29" fillId="11" borderId="13" applyNumberFormat="0" applyAlignment="0" applyProtection="0"/>
    <xf numFmtId="0" fontId="102" fillId="123" borderId="18" applyNumberFormat="0" applyAlignment="0" applyProtection="0"/>
    <xf numFmtId="0" fontId="102" fillId="122" borderId="18" applyNumberFormat="0" applyAlignment="0" applyProtection="0"/>
    <xf numFmtId="0" fontId="86" fillId="59" borderId="18" applyNumberFormat="0" applyAlignment="0" applyProtection="0"/>
    <xf numFmtId="0" fontId="61" fillId="59" borderId="18" applyNumberFormat="0" applyAlignment="0" applyProtection="0"/>
    <xf numFmtId="0" fontId="103" fillId="122" borderId="18" applyNumberFormat="0" applyAlignment="0" applyProtection="0"/>
    <xf numFmtId="0" fontId="86" fillId="59" borderId="18" applyNumberFormat="0" applyAlignment="0" applyProtection="0"/>
    <xf numFmtId="0" fontId="61" fillId="59" borderId="18" applyNumberFormat="0" applyAlignment="0" applyProtection="0"/>
    <xf numFmtId="187" fontId="61" fillId="59" borderId="18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38" fillId="0" borderId="0" applyFont="0" applyFill="0" applyBorder="0" applyAlignment="0" applyProtection="0"/>
    <xf numFmtId="179" fontId="78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1" fillId="0" borderId="0" applyFont="0" applyFill="0" applyBorder="0" applyAlignment="0" applyProtection="0"/>
    <xf numFmtId="180" fontId="88" fillId="0" borderId="0" applyFill="0" applyBorder="0" applyAlignment="0" applyProtection="0"/>
    <xf numFmtId="180" fontId="88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79" fontId="88" fillId="0" borderId="0" applyFill="0" applyBorder="0" applyAlignment="0" applyProtection="0"/>
    <xf numFmtId="43" fontId="41" fillId="0" borderId="0" applyFont="0" applyFill="0" applyBorder="0" applyAlignment="0" applyProtection="0"/>
    <xf numFmtId="180" fontId="88" fillId="0" borderId="0" applyFill="0" applyBorder="0" applyAlignment="0" applyProtection="0"/>
    <xf numFmtId="43" fontId="8" fillId="0" borderId="0" applyFont="0" applyFill="0" applyBorder="0" applyAlignment="0" applyProtection="0"/>
    <xf numFmtId="179" fontId="88" fillId="0" borderId="0" applyFill="0" applyBorder="0" applyAlignment="0" applyProtection="0"/>
    <xf numFmtId="43" fontId="8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80" fontId="88" fillId="0" borderId="0" applyFill="0" applyBorder="0" applyAlignment="0" applyProtection="0"/>
    <xf numFmtId="180" fontId="88" fillId="0" borderId="0" applyFill="0" applyBorder="0" applyAlignment="0" applyProtection="0"/>
    <xf numFmtId="43" fontId="8" fillId="0" borderId="0" applyFont="0" applyFill="0" applyBorder="0" applyAlignment="0" applyProtection="0"/>
    <xf numFmtId="43" fontId="41" fillId="0" borderId="0" applyFont="0" applyFill="0" applyBorder="0" applyAlignment="0" applyProtection="0"/>
    <xf numFmtId="179" fontId="88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79" fontId="78" fillId="0" borderId="0" applyFill="0" applyBorder="0" applyAlignment="0" applyProtection="0"/>
    <xf numFmtId="180" fontId="88" fillId="0" borderId="0" applyFill="0" applyBorder="0" applyAlignment="0" applyProtection="0"/>
    <xf numFmtId="180" fontId="88" fillId="0" borderId="0" applyFill="0" applyBorder="0" applyAlignment="0" applyProtection="0"/>
    <xf numFmtId="43" fontId="8" fillId="0" borderId="0" applyFont="0" applyFill="0" applyBorder="0" applyAlignment="0" applyProtection="0"/>
    <xf numFmtId="179" fontId="88" fillId="0" borderId="0" applyFill="0" applyBorder="0" applyAlignment="0" applyProtection="0"/>
    <xf numFmtId="43" fontId="4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1" fillId="0" borderId="0" applyFont="0" applyFill="0" applyBorder="0" applyAlignment="0" applyProtection="0"/>
    <xf numFmtId="179" fontId="78" fillId="0" borderId="0" applyFill="0" applyBorder="0" applyAlignment="0" applyProtection="0"/>
    <xf numFmtId="180" fontId="88" fillId="0" borderId="0" applyFill="0" applyBorder="0" applyAlignment="0" applyProtection="0"/>
    <xf numFmtId="43" fontId="8" fillId="0" borderId="0" applyFont="0" applyFill="0" applyBorder="0" applyAlignment="0" applyProtection="0"/>
    <xf numFmtId="43" fontId="41" fillId="0" borderId="0" applyFont="0" applyFill="0" applyBorder="0" applyAlignment="0" applyProtection="0"/>
    <xf numFmtId="180" fontId="88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1" fillId="0" borderId="0" applyFont="0" applyFill="0" applyBorder="0" applyAlignment="0" applyProtection="0"/>
    <xf numFmtId="179" fontId="88" fillId="0" borderId="0" applyFill="0" applyBorder="0" applyAlignment="0" applyProtection="0"/>
    <xf numFmtId="179" fontId="88" fillId="0" borderId="0" applyFill="0" applyBorder="0" applyAlignment="0" applyProtection="0"/>
    <xf numFmtId="43" fontId="4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1" fillId="0" borderId="0" applyFont="0" applyFill="0" applyBorder="0" applyAlignment="0" applyProtection="0"/>
    <xf numFmtId="179" fontId="88" fillId="0" borderId="0" applyFill="0" applyBorder="0" applyAlignment="0" applyProtection="0"/>
    <xf numFmtId="179" fontId="88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3" fontId="78" fillId="0" borderId="0" applyFill="0" applyBorder="0" applyAlignment="0" applyProtection="0"/>
    <xf numFmtId="3" fontId="88" fillId="0" borderId="0" applyFill="0" applyBorder="0" applyAlignment="0" applyProtection="0"/>
    <xf numFmtId="3" fontId="8" fillId="0" borderId="0" applyFont="0" applyFill="0" applyBorder="0" applyAlignment="0" applyProtection="0"/>
    <xf numFmtId="3" fontId="88" fillId="0" borderId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82" fontId="78" fillId="0" borderId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41" fillId="0" borderId="0" applyFont="0" applyFill="0" applyBorder="0" applyAlignment="0" applyProtection="0"/>
    <xf numFmtId="183" fontId="88" fillId="0" borderId="0" applyFill="0" applyBorder="0" applyAlignment="0" applyProtection="0"/>
    <xf numFmtId="183" fontId="88" fillId="0" borderId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82" fontId="88" fillId="0" borderId="0" applyFill="0" applyBorder="0" applyAlignment="0" applyProtection="0"/>
    <xf numFmtId="44" fontId="41" fillId="0" borderId="0" applyFont="0" applyFill="0" applyBorder="0" applyAlignment="0" applyProtection="0"/>
    <xf numFmtId="183" fontId="88" fillId="0" borderId="0" applyFill="0" applyBorder="0" applyAlignment="0" applyProtection="0"/>
    <xf numFmtId="44" fontId="8" fillId="0" borderId="0" applyFont="0" applyFill="0" applyBorder="0" applyAlignment="0" applyProtection="0"/>
    <xf numFmtId="182" fontId="88" fillId="0" borderId="0" applyFill="0" applyBorder="0" applyAlignment="0" applyProtection="0"/>
    <xf numFmtId="44" fontId="8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82" fontId="78" fillId="0" borderId="0" applyFill="0" applyBorder="0" applyAlignment="0" applyProtection="0"/>
    <xf numFmtId="183" fontId="88" fillId="0" borderId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83" fontId="88" fillId="0" borderId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8" fillId="0" borderId="0" applyFont="0" applyFill="0" applyBorder="0" applyAlignment="0" applyProtection="0"/>
    <xf numFmtId="182" fontId="88" fillId="0" borderId="0" applyFill="0" applyBorder="0" applyAlignment="0" applyProtection="0"/>
    <xf numFmtId="44" fontId="8" fillId="0" borderId="0" applyFont="0" applyFill="0" applyBorder="0" applyAlignment="0" applyProtection="0"/>
    <xf numFmtId="44" fontId="41" fillId="0" borderId="0" applyFont="0" applyFill="0" applyBorder="0" applyAlignment="0" applyProtection="0"/>
    <xf numFmtId="0" fontId="88" fillId="0" borderId="0" applyNumberFormat="0" applyFill="0" applyBorder="0" applyAlignment="0" applyProtection="0"/>
    <xf numFmtId="44" fontId="84" fillId="0" borderId="0" applyFont="0" applyFill="0" applyBorder="0" applyAlignment="0" applyProtection="0"/>
    <xf numFmtId="44" fontId="8" fillId="0" borderId="0" applyFont="0" applyFill="0" applyBorder="0" applyAlignment="0" applyProtection="0"/>
    <xf numFmtId="184" fontId="78" fillId="0" borderId="0" applyFill="0" applyBorder="0" applyAlignment="0" applyProtection="0"/>
    <xf numFmtId="184" fontId="88" fillId="0" borderId="0" applyFill="0" applyBorder="0" applyAlignment="0" applyProtection="0"/>
    <xf numFmtId="5" fontId="8" fillId="0" borderId="0" applyFont="0" applyFill="0" applyBorder="0" applyAlignment="0" applyProtection="0"/>
    <xf numFmtId="184" fontId="88" fillId="0" borderId="0" applyFill="0" applyBorder="0" applyAlignment="0" applyProtection="0"/>
    <xf numFmtId="5" fontId="8" fillId="0" borderId="0" applyFont="0" applyFill="0" applyBorder="0" applyAlignment="0" applyProtection="0"/>
    <xf numFmtId="5" fontId="8" fillId="0" borderId="0" applyFont="0" applyFill="0" applyBorder="0" applyAlignment="0" applyProtection="0"/>
    <xf numFmtId="14" fontId="78" fillId="0" borderId="0" applyFill="0" applyBorder="0" applyAlignment="0" applyProtection="0"/>
    <xf numFmtId="14" fontId="88" fillId="0" borderId="0" applyFill="0" applyBorder="0" applyAlignment="0" applyProtection="0"/>
    <xf numFmtId="14" fontId="8" fillId="0" borderId="0" applyFont="0" applyFill="0" applyBorder="0" applyAlignment="0" applyProtection="0"/>
    <xf numFmtId="14" fontId="88" fillId="0" borderId="0" applyFill="0" applyBorder="0" applyAlignment="0" applyProtection="0"/>
    <xf numFmtId="14" fontId="8" fillId="0" borderId="0" applyFont="0" applyFill="0" applyBorder="0" applyAlignment="0" applyProtection="0"/>
    <xf numFmtId="14" fontId="8" fillId="0" borderId="0" applyFont="0" applyFill="0" applyBorder="0" applyAlignment="0" applyProtection="0"/>
    <xf numFmtId="0" fontId="107" fillId="76" borderId="0" applyNumberFormat="0" applyBorder="0" applyAlignment="0" applyProtection="0"/>
    <xf numFmtId="0" fontId="154" fillId="124" borderId="0" applyNumberFormat="0" applyBorder="0" applyAlignment="0" applyProtection="0"/>
    <xf numFmtId="0" fontId="76" fillId="0" borderId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87" fontId="31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87" fontId="62" fillId="0" borderId="0" applyNumberFormat="0" applyFill="0" applyBorder="0" applyAlignment="0" applyProtection="0"/>
    <xf numFmtId="0" fontId="158" fillId="45" borderId="56" applyNumberFormat="0" applyAlignment="0" applyProtection="0">
      <alignment horizontal="right" vertical="center"/>
    </xf>
    <xf numFmtId="0" fontId="159" fillId="125" borderId="56" applyNumberFormat="0">
      <alignment horizontal="center" vertical="center"/>
    </xf>
    <xf numFmtId="2" fontId="78" fillId="0" borderId="0" applyFill="0" applyBorder="0" applyAlignment="0" applyProtection="0"/>
    <xf numFmtId="2" fontId="88" fillId="0" borderId="0" applyFill="0" applyBorder="0" applyAlignment="0" applyProtection="0"/>
    <xf numFmtId="2" fontId="8" fillId="0" borderId="0" applyFont="0" applyFill="0" applyBorder="0" applyAlignment="0" applyProtection="0"/>
    <xf numFmtId="2" fontId="88" fillId="0" borderId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07" fillId="126" borderId="0" applyNumberFormat="0" applyBorder="0" applyAlignment="0" applyProtection="0"/>
    <xf numFmtId="0" fontId="107" fillId="76" borderId="0" applyNumberFormat="0" applyBorder="0" applyAlignment="0" applyProtection="0"/>
    <xf numFmtId="0" fontId="63" fillId="42" borderId="0" applyNumberFormat="0" applyBorder="0" applyAlignment="0" applyProtection="0"/>
    <xf numFmtId="0" fontId="107" fillId="12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187" fontId="22" fillId="6" borderId="0" applyNumberFormat="0" applyBorder="0" applyAlignment="0" applyProtection="0"/>
    <xf numFmtId="0" fontId="154" fillId="127" borderId="0" applyNumberFormat="0" applyBorder="0" applyAlignment="0" applyProtection="0"/>
    <xf numFmtId="0" fontId="107" fillId="76" borderId="0" applyNumberFormat="0" applyBorder="0" applyAlignment="0" applyProtection="0"/>
    <xf numFmtId="0" fontId="142" fillId="42" borderId="0" applyNumberFormat="0" applyBorder="0" applyAlignment="0" applyProtection="0"/>
    <xf numFmtId="0" fontId="63" fillId="42" borderId="0" applyNumberFormat="0" applyBorder="0" applyAlignment="0" applyProtection="0"/>
    <xf numFmtId="0" fontId="108" fillId="76" borderId="0" applyNumberFormat="0" applyBorder="0" applyAlignment="0" applyProtection="0"/>
    <xf numFmtId="0" fontId="142" fillId="42" borderId="0" applyNumberFormat="0" applyBorder="0" applyAlignment="0" applyProtection="0"/>
    <xf numFmtId="0" fontId="63" fillId="42" borderId="0" applyNumberFormat="0" applyBorder="0" applyAlignment="0" applyProtection="0"/>
    <xf numFmtId="187" fontId="63" fillId="42" borderId="0" applyNumberFormat="0" applyBorder="0" applyAlignment="0" applyProtection="0"/>
    <xf numFmtId="0" fontId="109" fillId="120" borderId="0" applyNumberFormat="0" applyBorder="0" applyAlignment="0" applyProtection="0"/>
    <xf numFmtId="0" fontId="109" fillId="120" borderId="0" applyNumberFormat="0" applyBorder="0" applyAlignment="0" applyProtection="0"/>
    <xf numFmtId="38" fontId="14" fillId="37" borderId="0" applyNumberFormat="0" applyBorder="0" applyAlignment="0" applyProtection="0"/>
    <xf numFmtId="38" fontId="14" fillId="37" borderId="0" applyNumberFormat="0" applyBorder="0" applyAlignment="0" applyProtection="0"/>
    <xf numFmtId="0" fontId="109" fillId="128" borderId="0" applyNumberFormat="0" applyBorder="0" applyAlignment="0" applyProtection="0"/>
    <xf numFmtId="0" fontId="143" fillId="0" borderId="43" applyNumberFormat="0" applyFill="0" applyAlignment="0" applyProtection="0"/>
    <xf numFmtId="0" fontId="143" fillId="0" borderId="43" applyNumberFormat="0" applyFill="0" applyAlignment="0" applyProtection="0"/>
    <xf numFmtId="0" fontId="143" fillId="0" borderId="43" applyNumberFormat="0" applyFill="0" applyAlignment="0" applyProtection="0"/>
    <xf numFmtId="0" fontId="143" fillId="0" borderId="43" applyNumberFormat="0" applyFill="0" applyAlignment="0" applyProtection="0"/>
    <xf numFmtId="0" fontId="143" fillId="0" borderId="43" applyNumberFormat="0" applyFill="0" applyAlignment="0" applyProtection="0"/>
    <xf numFmtId="0" fontId="143" fillId="0" borderId="43" applyNumberFormat="0" applyFill="0" applyAlignment="0" applyProtection="0"/>
    <xf numFmtId="0" fontId="19" fillId="0" borderId="7" applyNumberFormat="0" applyFill="0" applyAlignment="0" applyProtection="0"/>
    <xf numFmtId="0" fontId="110" fillId="0" borderId="44" applyNumberFormat="0" applyFill="0" applyAlignment="0" applyProtection="0"/>
    <xf numFmtId="0" fontId="110" fillId="0" borderId="44" applyNumberFormat="0" applyFill="0" applyAlignment="0" applyProtection="0"/>
    <xf numFmtId="0" fontId="161" fillId="0" borderId="43" applyNumberFormat="0" applyFill="0" applyAlignment="0" applyProtection="0"/>
    <xf numFmtId="0" fontId="111" fillId="0" borderId="19" applyNumberFormat="0" applyFill="0" applyAlignment="0" applyProtection="0"/>
    <xf numFmtId="0" fontId="64" fillId="0" borderId="19" applyNumberFormat="0" applyFill="0" applyAlignment="0" applyProtection="0"/>
    <xf numFmtId="0" fontId="161" fillId="0" borderId="43" applyNumberFormat="0" applyFill="0" applyAlignment="0" applyProtection="0"/>
    <xf numFmtId="187" fontId="161" fillId="0" borderId="43" applyNumberFormat="0" applyFill="0" applyAlignment="0" applyProtection="0"/>
    <xf numFmtId="0" fontId="88" fillId="0" borderId="0" applyNumberFormat="0" applyFill="0" applyAlignment="0" applyProtection="0"/>
    <xf numFmtId="0" fontId="136" fillId="0" borderId="0" applyNumberFormat="0" applyFont="0" applyFill="0" applyAlignment="0" applyProtection="0"/>
    <xf numFmtId="0" fontId="111" fillId="0" borderId="19" applyNumberFormat="0" applyFill="0" applyAlignment="0" applyProtection="0"/>
    <xf numFmtId="0" fontId="144" fillId="0" borderId="19" applyNumberFormat="0" applyFill="0" applyAlignment="0" applyProtection="0"/>
    <xf numFmtId="0" fontId="64" fillId="0" borderId="19" applyNumberFormat="0" applyFill="0" applyAlignment="0" applyProtection="0"/>
    <xf numFmtId="0" fontId="136" fillId="0" borderId="0" applyNumberFormat="0" applyFont="0" applyFill="0" applyAlignment="0" applyProtection="0"/>
    <xf numFmtId="0" fontId="64" fillId="0" borderId="19" applyNumberFormat="0" applyFill="0" applyAlignment="0" applyProtection="0"/>
    <xf numFmtId="187" fontId="64" fillId="0" borderId="19" applyNumberFormat="0" applyFill="0" applyAlignment="0" applyProtection="0"/>
    <xf numFmtId="0" fontId="143" fillId="0" borderId="43" applyNumberFormat="0" applyFill="0" applyAlignment="0" applyProtection="0"/>
    <xf numFmtId="0" fontId="143" fillId="0" borderId="43" applyNumberFormat="0" applyFill="0" applyAlignment="0" applyProtection="0"/>
    <xf numFmtId="0" fontId="145" fillId="0" borderId="8" applyNumberFormat="0" applyFill="0" applyAlignment="0" applyProtection="0"/>
    <xf numFmtId="0" fontId="145" fillId="0" borderId="8" applyNumberFormat="0" applyFill="0" applyAlignment="0" applyProtection="0"/>
    <xf numFmtId="0" fontId="145" fillId="0" borderId="8" applyNumberFormat="0" applyFill="0" applyAlignment="0" applyProtection="0"/>
    <xf numFmtId="0" fontId="145" fillId="0" borderId="8" applyNumberFormat="0" applyFill="0" applyAlignment="0" applyProtection="0"/>
    <xf numFmtId="0" fontId="145" fillId="0" borderId="8" applyNumberFormat="0" applyFill="0" applyAlignment="0" applyProtection="0"/>
    <xf numFmtId="0" fontId="145" fillId="0" borderId="8" applyNumberFormat="0" applyFill="0" applyAlignment="0" applyProtection="0"/>
    <xf numFmtId="0" fontId="20" fillId="0" borderId="8" applyNumberFormat="0" applyFill="0" applyAlignment="0" applyProtection="0"/>
    <xf numFmtId="0" fontId="112" fillId="0" borderId="45" applyNumberFormat="0" applyFill="0" applyAlignment="0" applyProtection="0"/>
    <xf numFmtId="0" fontId="112" fillId="0" borderId="45" applyNumberFormat="0" applyFill="0" applyAlignment="0" applyProtection="0"/>
    <xf numFmtId="0" fontId="162" fillId="0" borderId="8" applyNumberFormat="0" applyFill="0" applyAlignment="0" applyProtection="0"/>
    <xf numFmtId="0" fontId="113" fillId="0" borderId="20" applyNumberFormat="0" applyFill="0" applyAlignment="0" applyProtection="0"/>
    <xf numFmtId="0" fontId="65" fillId="0" borderId="20" applyNumberFormat="0" applyFill="0" applyAlignment="0" applyProtection="0"/>
    <xf numFmtId="0" fontId="162" fillId="0" borderId="8" applyNumberFormat="0" applyFill="0" applyAlignment="0" applyProtection="0"/>
    <xf numFmtId="187" fontId="162" fillId="0" borderId="8" applyNumberFormat="0" applyFill="0" applyAlignment="0" applyProtection="0"/>
    <xf numFmtId="0" fontId="88" fillId="0" borderId="0" applyNumberFormat="0" applyFill="0" applyAlignment="0" applyProtection="0"/>
    <xf numFmtId="0" fontId="12" fillId="0" borderId="0" applyNumberFormat="0" applyFont="0" applyFill="0" applyAlignment="0" applyProtection="0"/>
    <xf numFmtId="0" fontId="113" fillId="0" borderId="20" applyNumberFormat="0" applyFill="0" applyAlignment="0" applyProtection="0"/>
    <xf numFmtId="0" fontId="146" fillId="0" borderId="20" applyNumberFormat="0" applyFill="0" applyAlignment="0" applyProtection="0"/>
    <xf numFmtId="0" fontId="65" fillId="0" borderId="20" applyNumberFormat="0" applyFill="0" applyAlignment="0" applyProtection="0"/>
    <xf numFmtId="0" fontId="12" fillId="0" borderId="0" applyNumberFormat="0" applyFont="0" applyFill="0" applyAlignment="0" applyProtection="0"/>
    <xf numFmtId="0" fontId="65" fillId="0" borderId="20" applyNumberFormat="0" applyFill="0" applyAlignment="0" applyProtection="0"/>
    <xf numFmtId="187" fontId="65" fillId="0" borderId="20" applyNumberFormat="0" applyFill="0" applyAlignment="0" applyProtection="0"/>
    <xf numFmtId="0" fontId="145" fillId="0" borderId="8" applyNumberFormat="0" applyFill="0" applyAlignment="0" applyProtection="0"/>
    <xf numFmtId="0" fontId="145" fillId="0" borderId="8" applyNumberFormat="0" applyFill="0" applyAlignment="0" applyProtection="0"/>
    <xf numFmtId="0" fontId="147" fillId="0" borderId="46" applyNumberFormat="0" applyFill="0" applyAlignment="0" applyProtection="0"/>
    <xf numFmtId="0" fontId="147" fillId="0" borderId="46" applyNumberFormat="0" applyFill="0" applyAlignment="0" applyProtection="0"/>
    <xf numFmtId="0" fontId="147" fillId="0" borderId="46" applyNumberFormat="0" applyFill="0" applyAlignment="0" applyProtection="0"/>
    <xf numFmtId="0" fontId="147" fillId="0" borderId="46" applyNumberFormat="0" applyFill="0" applyAlignment="0" applyProtection="0"/>
    <xf numFmtId="0" fontId="147" fillId="0" borderId="46" applyNumberFormat="0" applyFill="0" applyAlignment="0" applyProtection="0"/>
    <xf numFmtId="0" fontId="147" fillId="0" borderId="46" applyNumberFormat="0" applyFill="0" applyAlignment="0" applyProtection="0"/>
    <xf numFmtId="0" fontId="21" fillId="0" borderId="9" applyNumberFormat="0" applyFill="0" applyAlignment="0" applyProtection="0"/>
    <xf numFmtId="0" fontId="114" fillId="0" borderId="47" applyNumberFormat="0" applyFill="0" applyAlignment="0" applyProtection="0"/>
    <xf numFmtId="0" fontId="115" fillId="0" borderId="48" applyNumberFormat="0" applyFill="0" applyAlignment="0" applyProtection="0"/>
    <xf numFmtId="0" fontId="66" fillId="0" borderId="21" applyNumberFormat="0" applyFill="0" applyAlignment="0" applyProtection="0"/>
    <xf numFmtId="0" fontId="114" fillId="0" borderId="47" applyNumberFormat="0" applyFill="0" applyAlignment="0" applyProtection="0"/>
    <xf numFmtId="0" fontId="163" fillId="0" borderId="46" applyNumberFormat="0" applyFill="0" applyAlignment="0" applyProtection="0"/>
    <xf numFmtId="0" fontId="163" fillId="0" borderId="46" applyNumberFormat="0" applyFill="0" applyAlignment="0" applyProtection="0"/>
    <xf numFmtId="187" fontId="163" fillId="0" borderId="46" applyNumberFormat="0" applyFill="0" applyAlignment="0" applyProtection="0"/>
    <xf numFmtId="0" fontId="115" fillId="0" borderId="48" applyNumberFormat="0" applyFill="0" applyAlignment="0" applyProtection="0"/>
    <xf numFmtId="0" fontId="148" fillId="0" borderId="21" applyNumberFormat="0" applyFill="0" applyAlignment="0" applyProtection="0"/>
    <xf numFmtId="0" fontId="66" fillId="0" borderId="21" applyNumberFormat="0" applyFill="0" applyAlignment="0" applyProtection="0"/>
    <xf numFmtId="0" fontId="116" fillId="0" borderId="48" applyNumberFormat="0" applyFill="0" applyAlignment="0" applyProtection="0"/>
    <xf numFmtId="0" fontId="148" fillId="0" borderId="21" applyNumberFormat="0" applyFill="0" applyAlignment="0" applyProtection="0"/>
    <xf numFmtId="0" fontId="66" fillId="0" borderId="21" applyNumberFormat="0" applyFill="0" applyAlignment="0" applyProtection="0"/>
    <xf numFmtId="187" fontId="66" fillId="0" borderId="21" applyNumberFormat="0" applyFill="0" applyAlignment="0" applyProtection="0"/>
    <xf numFmtId="0" fontId="147" fillId="0" borderId="46" applyNumberFormat="0" applyFill="0" applyAlignment="0" applyProtection="0"/>
    <xf numFmtId="0" fontId="147" fillId="0" borderId="46" applyNumberFormat="0" applyFill="0" applyAlignment="0" applyProtection="0"/>
    <xf numFmtId="0" fontId="147" fillId="0" borderId="46" applyNumberFormat="0" applyFill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63" fillId="0" borderId="0" applyNumberFormat="0" applyFill="0" applyBorder="0" applyAlignment="0" applyProtection="0"/>
    <xf numFmtId="0" fontId="163" fillId="0" borderId="0" applyNumberFormat="0" applyFill="0" applyBorder="0" applyAlignment="0" applyProtection="0"/>
    <xf numFmtId="187" fontId="163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87" fontId="6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37" fillId="0" borderId="0" applyNumberFormat="0" applyFill="0" applyBorder="0" applyAlignment="0" applyProtection="0">
      <alignment vertical="top"/>
      <protection locked="0"/>
    </xf>
    <xf numFmtId="0" fontId="164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187" fontId="57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/>
    <xf numFmtId="0" fontId="109" fillId="129" borderId="0" applyNumberFormat="0" applyBorder="0" applyAlignment="0" applyProtection="0"/>
    <xf numFmtId="0" fontId="109" fillId="129" borderId="0" applyNumberFormat="0" applyBorder="0" applyAlignment="0" applyProtection="0"/>
    <xf numFmtId="10" fontId="14" fillId="38" borderId="1" applyNumberFormat="0" applyBorder="0" applyAlignment="0" applyProtection="0"/>
    <xf numFmtId="10" fontId="14" fillId="38" borderId="1" applyNumberFormat="0" applyBorder="0" applyAlignment="0" applyProtection="0"/>
    <xf numFmtId="0" fontId="119" fillId="84" borderId="17" applyNumberFormat="0" applyAlignment="0" applyProtection="0"/>
    <xf numFmtId="0" fontId="67" fillId="45" borderId="17" applyNumberFormat="0" applyAlignment="0" applyProtection="0"/>
    <xf numFmtId="0" fontId="119" fillId="84" borderId="17" applyNumberFormat="0" applyAlignment="0" applyProtection="0"/>
    <xf numFmtId="0" fontId="67" fillId="45" borderId="17" applyNumberFormat="0" applyAlignment="0" applyProtection="0"/>
    <xf numFmtId="0" fontId="119" fillId="84" borderId="17" applyNumberFormat="0" applyAlignment="0" applyProtection="0"/>
    <xf numFmtId="0" fontId="67" fillId="45" borderId="17" applyNumberFormat="0" applyAlignment="0" applyProtection="0"/>
    <xf numFmtId="0" fontId="119" fillId="84" borderId="17" applyNumberFormat="0" applyAlignment="0" applyProtection="0"/>
    <xf numFmtId="0" fontId="67" fillId="45" borderId="17" applyNumberFormat="0" applyAlignment="0" applyProtection="0"/>
    <xf numFmtId="0" fontId="119" fillId="84" borderId="17" applyNumberFormat="0" applyAlignment="0" applyProtection="0"/>
    <xf numFmtId="0" fontId="67" fillId="45" borderId="17" applyNumberFormat="0" applyAlignment="0" applyProtection="0"/>
    <xf numFmtId="0" fontId="119" fillId="84" borderId="17" applyNumberFormat="0" applyAlignment="0" applyProtection="0"/>
    <xf numFmtId="0" fontId="67" fillId="45" borderId="17" applyNumberFormat="0" applyAlignment="0" applyProtection="0"/>
    <xf numFmtId="0" fontId="119" fillId="84" borderId="17" applyNumberFormat="0" applyAlignment="0" applyProtection="0"/>
    <xf numFmtId="0" fontId="67" fillId="45" borderId="17" applyNumberFormat="0" applyAlignment="0" applyProtection="0"/>
    <xf numFmtId="0" fontId="119" fillId="84" borderId="17" applyNumberFormat="0" applyAlignment="0" applyProtection="0"/>
    <xf numFmtId="0" fontId="67" fillId="45" borderId="17" applyNumberFormat="0" applyAlignment="0" applyProtection="0"/>
    <xf numFmtId="0" fontId="119" fillId="84" borderId="17" applyNumberFormat="0" applyAlignment="0" applyProtection="0"/>
    <xf numFmtId="0" fontId="67" fillId="45" borderId="17" applyNumberFormat="0" applyAlignment="0" applyProtection="0"/>
    <xf numFmtId="0" fontId="119" fillId="84" borderId="17" applyNumberFormat="0" applyAlignment="0" applyProtection="0"/>
    <xf numFmtId="0" fontId="67" fillId="45" borderId="17" applyNumberFormat="0" applyAlignment="0" applyProtection="0"/>
    <xf numFmtId="0" fontId="120" fillId="84" borderId="41" applyNumberFormat="0" applyAlignment="0" applyProtection="0"/>
    <xf numFmtId="0" fontId="119" fillId="84" borderId="17" applyNumberFormat="0" applyAlignment="0" applyProtection="0"/>
    <xf numFmtId="0" fontId="67" fillId="45" borderId="17" applyNumberFormat="0" applyAlignment="0" applyProtection="0"/>
    <xf numFmtId="0" fontId="120" fillId="84" borderId="41" applyNumberFormat="0" applyAlignment="0" applyProtection="0"/>
    <xf numFmtId="0" fontId="25" fillId="60" borderId="10" applyNumberFormat="0" applyAlignment="0" applyProtection="0"/>
    <xf numFmtId="0" fontId="25" fillId="60" borderId="10" applyNumberFormat="0" applyAlignment="0" applyProtection="0"/>
    <xf numFmtId="187" fontId="25" fillId="60" borderId="10" applyNumberFormat="0" applyAlignment="0" applyProtection="0"/>
    <xf numFmtId="0" fontId="120" fillId="84" borderId="42" applyNumberFormat="0" applyAlignment="0" applyProtection="0"/>
    <xf numFmtId="0" fontId="119" fillId="84" borderId="17" applyNumberFormat="0" applyAlignment="0" applyProtection="0"/>
    <xf numFmtId="0" fontId="67" fillId="45" borderId="17" applyNumberFormat="0" applyAlignment="0" applyProtection="0"/>
    <xf numFmtId="0" fontId="119" fillId="84" borderId="17" applyNumberFormat="0" applyAlignment="0" applyProtection="0"/>
    <xf numFmtId="0" fontId="67" fillId="45" borderId="17" applyNumberFormat="0" applyAlignment="0" applyProtection="0"/>
    <xf numFmtId="0" fontId="119" fillId="84" borderId="17" applyNumberFormat="0" applyAlignment="0" applyProtection="0"/>
    <xf numFmtId="0" fontId="67" fillId="45" borderId="17" applyNumberFormat="0" applyAlignment="0" applyProtection="0"/>
    <xf numFmtId="0" fontId="119" fillId="84" borderId="17" applyNumberFormat="0" applyAlignment="0" applyProtection="0"/>
    <xf numFmtId="0" fontId="67" fillId="45" borderId="17" applyNumberFormat="0" applyAlignment="0" applyProtection="0"/>
    <xf numFmtId="0" fontId="119" fillId="84" borderId="17" applyNumberFormat="0" applyAlignment="0" applyProtection="0"/>
    <xf numFmtId="0" fontId="67" fillId="45" borderId="17" applyNumberFormat="0" applyAlignment="0" applyProtection="0"/>
    <xf numFmtId="0" fontId="119" fillId="84" borderId="17" applyNumberFormat="0" applyAlignment="0" applyProtection="0"/>
    <xf numFmtId="0" fontId="67" fillId="45" borderId="17" applyNumberFormat="0" applyAlignment="0" applyProtection="0"/>
    <xf numFmtId="0" fontId="119" fillId="84" borderId="17" applyNumberFormat="0" applyAlignment="0" applyProtection="0"/>
    <xf numFmtId="0" fontId="67" fillId="45" borderId="17" applyNumberFormat="0" applyAlignment="0" applyProtection="0"/>
    <xf numFmtId="0" fontId="119" fillId="84" borderId="17" applyNumberFormat="0" applyAlignment="0" applyProtection="0"/>
    <xf numFmtId="0" fontId="67" fillId="45" borderId="17" applyNumberFormat="0" applyAlignment="0" applyProtection="0"/>
    <xf numFmtId="0" fontId="119" fillId="84" borderId="17" applyNumberFormat="0" applyAlignment="0" applyProtection="0"/>
    <xf numFmtId="0" fontId="67" fillId="45" borderId="17" applyNumberFormat="0" applyAlignment="0" applyProtection="0"/>
    <xf numFmtId="0" fontId="121" fillId="84" borderId="17" applyNumberFormat="0" applyAlignment="0" applyProtection="0"/>
    <xf numFmtId="0" fontId="149" fillId="45" borderId="17" applyNumberFormat="0" applyAlignment="0" applyProtection="0"/>
    <xf numFmtId="0" fontId="119" fillId="84" borderId="17" applyNumberFormat="0" applyAlignment="0" applyProtection="0"/>
    <xf numFmtId="0" fontId="149" fillId="45" borderId="17" applyNumberFormat="0" applyAlignment="0" applyProtection="0"/>
    <xf numFmtId="0" fontId="67" fillId="45" borderId="17" applyNumberFormat="0" applyAlignment="0" applyProtection="0"/>
    <xf numFmtId="0" fontId="67" fillId="45" borderId="17" applyNumberFormat="0" applyAlignment="0" applyProtection="0"/>
    <xf numFmtId="187" fontId="67" fillId="45" borderId="17" applyNumberFormat="0" applyAlignment="0" applyProtection="0"/>
    <xf numFmtId="0" fontId="67" fillId="45" borderId="17" applyNumberFormat="0" applyAlignment="0" applyProtection="0"/>
    <xf numFmtId="0" fontId="67" fillId="45" borderId="17" applyNumberFormat="0" applyAlignment="0" applyProtection="0"/>
    <xf numFmtId="0" fontId="67" fillId="45" borderId="17" applyNumberFormat="0" applyAlignment="0" applyProtection="0"/>
    <xf numFmtId="0" fontId="67" fillId="45" borderId="17" applyNumberFormat="0" applyAlignment="0" applyProtection="0"/>
    <xf numFmtId="0" fontId="67" fillId="45" borderId="17" applyNumberFormat="0" applyAlignment="0" applyProtection="0"/>
    <xf numFmtId="0" fontId="67" fillId="45" borderId="17" applyNumberFormat="0" applyAlignment="0" applyProtection="0"/>
    <xf numFmtId="0" fontId="149" fillId="45" borderId="17" applyNumberFormat="0" applyAlignment="0" applyProtection="0"/>
    <xf numFmtId="0" fontId="149" fillId="45" borderId="17" applyNumberFormat="0" applyAlignment="0" applyProtection="0"/>
    <xf numFmtId="0" fontId="119" fillId="84" borderId="17" applyNumberFormat="0" applyAlignment="0" applyProtection="0"/>
    <xf numFmtId="0" fontId="149" fillId="45" borderId="17" applyNumberFormat="0" applyAlignment="0" applyProtection="0"/>
    <xf numFmtId="0" fontId="67" fillId="45" borderId="17" applyNumberFormat="0" applyAlignment="0" applyProtection="0"/>
    <xf numFmtId="0" fontId="25" fillId="9" borderId="10" applyNumberFormat="0" applyAlignment="0" applyProtection="0"/>
    <xf numFmtId="0" fontId="119" fillId="84" borderId="17" applyNumberFormat="0" applyAlignment="0" applyProtection="0"/>
    <xf numFmtId="0" fontId="149" fillId="45" borderId="17" applyNumberFormat="0" applyAlignment="0" applyProtection="0"/>
    <xf numFmtId="0" fontId="67" fillId="45" borderId="17" applyNumberFormat="0" applyAlignment="0" applyProtection="0"/>
    <xf numFmtId="0" fontId="119" fillId="84" borderId="17" applyNumberFormat="0" applyAlignment="0" applyProtection="0"/>
    <xf numFmtId="0" fontId="67" fillId="45" borderId="17" applyNumberFormat="0" applyAlignment="0" applyProtection="0"/>
    <xf numFmtId="0" fontId="119" fillId="84" borderId="17" applyNumberFormat="0" applyAlignment="0" applyProtection="0"/>
    <xf numFmtId="0" fontId="67" fillId="45" borderId="17" applyNumberFormat="0" applyAlignment="0" applyProtection="0"/>
    <xf numFmtId="0" fontId="119" fillId="84" borderId="17" applyNumberFormat="0" applyAlignment="0" applyProtection="0"/>
    <xf numFmtId="0" fontId="67" fillId="45" borderId="17" applyNumberFormat="0" applyAlignment="0" applyProtection="0"/>
    <xf numFmtId="0" fontId="119" fillId="84" borderId="17" applyNumberFormat="0" applyAlignment="0" applyProtection="0"/>
    <xf numFmtId="0" fontId="67" fillId="45" borderId="17" applyNumberFormat="0" applyAlignment="0" applyProtection="0"/>
    <xf numFmtId="0" fontId="122" fillId="0" borderId="49" applyNumberFormat="0" applyFill="0" applyAlignment="0" applyProtection="0"/>
    <xf numFmtId="0" fontId="123" fillId="0" borderId="22" applyNumberFormat="0" applyFill="0" applyAlignment="0" applyProtection="0"/>
    <xf numFmtId="0" fontId="68" fillId="0" borderId="22" applyNumberFormat="0" applyFill="0" applyAlignment="0" applyProtection="0"/>
    <xf numFmtId="0" fontId="122" fillId="0" borderId="49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187" fontId="28" fillId="0" borderId="12" applyNumberFormat="0" applyFill="0" applyAlignment="0" applyProtection="0"/>
    <xf numFmtId="0" fontId="155" fillId="0" borderId="50" applyNumberFormat="0" applyFill="0" applyAlignment="0" applyProtection="0"/>
    <xf numFmtId="0" fontId="123" fillId="0" borderId="22" applyNumberFormat="0" applyFill="0" applyAlignment="0" applyProtection="0"/>
    <xf numFmtId="0" fontId="150" fillId="0" borderId="22" applyNumberFormat="0" applyFill="0" applyAlignment="0" applyProtection="0"/>
    <xf numFmtId="0" fontId="68" fillId="0" borderId="22" applyNumberFormat="0" applyFill="0" applyAlignment="0" applyProtection="0"/>
    <xf numFmtId="0" fontId="124" fillId="0" borderId="22" applyNumberFormat="0" applyFill="0" applyAlignment="0" applyProtection="0"/>
    <xf numFmtId="0" fontId="150" fillId="0" borderId="22" applyNumberFormat="0" applyFill="0" applyAlignment="0" applyProtection="0"/>
    <xf numFmtId="0" fontId="68" fillId="0" borderId="22" applyNumberFormat="0" applyFill="0" applyAlignment="0" applyProtection="0"/>
    <xf numFmtId="187" fontId="68" fillId="0" borderId="22" applyNumberFormat="0" applyFill="0" applyAlignment="0" applyProtection="0"/>
    <xf numFmtId="177" fontId="76" fillId="0" borderId="0"/>
    <xf numFmtId="177" fontId="76" fillId="0" borderId="0"/>
    <xf numFmtId="177" fontId="8" fillId="0" borderId="0"/>
    <xf numFmtId="177" fontId="8" fillId="0" borderId="0"/>
    <xf numFmtId="185" fontId="76" fillId="0" borderId="0"/>
    <xf numFmtId="185" fontId="76" fillId="0" borderId="0"/>
    <xf numFmtId="172" fontId="8" fillId="0" borderId="0"/>
    <xf numFmtId="172" fontId="8" fillId="0" borderId="0"/>
    <xf numFmtId="177" fontId="76" fillId="0" borderId="0"/>
    <xf numFmtId="177" fontId="76" fillId="0" borderId="0"/>
    <xf numFmtId="177" fontId="8" fillId="0" borderId="0"/>
    <xf numFmtId="177" fontId="8" fillId="0" borderId="0"/>
    <xf numFmtId="177" fontId="76" fillId="0" borderId="0"/>
    <xf numFmtId="177" fontId="76" fillId="0" borderId="0"/>
    <xf numFmtId="177" fontId="8" fillId="0" borderId="0"/>
    <xf numFmtId="177" fontId="8" fillId="0" borderId="0"/>
    <xf numFmtId="177" fontId="76" fillId="0" borderId="0"/>
    <xf numFmtId="177" fontId="76" fillId="0" borderId="0"/>
    <xf numFmtId="177" fontId="8" fillId="0" borderId="0"/>
    <xf numFmtId="177" fontId="8" fillId="0" borderId="0"/>
    <xf numFmtId="177" fontId="76" fillId="0" borderId="0"/>
    <xf numFmtId="177" fontId="76" fillId="0" borderId="0"/>
    <xf numFmtId="177" fontId="8" fillId="0" borderId="0"/>
    <xf numFmtId="177" fontId="8" fillId="0" borderId="0"/>
    <xf numFmtId="0" fontId="125" fillId="130" borderId="0" applyNumberFormat="0" applyBorder="0" applyAlignment="0" applyProtection="0"/>
    <xf numFmtId="0" fontId="126" fillId="131" borderId="0" applyNumberFormat="0" applyBorder="0" applyAlignment="0" applyProtection="0"/>
    <xf numFmtId="0" fontId="69" fillId="60" borderId="0" applyNumberFormat="0" applyBorder="0" applyAlignment="0" applyProtection="0"/>
    <xf numFmtId="0" fontId="125" fillId="130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187" fontId="24" fillId="8" borderId="0" applyNumberFormat="0" applyBorder="0" applyAlignment="0" applyProtection="0"/>
    <xf numFmtId="0" fontId="156" fillId="132" borderId="0" applyNumberFormat="0" applyBorder="0" applyAlignment="0" applyProtection="0"/>
    <xf numFmtId="0" fontId="126" fillId="131" borderId="0" applyNumberFormat="0" applyBorder="0" applyAlignment="0" applyProtection="0"/>
    <xf numFmtId="0" fontId="151" fillId="60" borderId="0" applyNumberFormat="0" applyBorder="0" applyAlignment="0" applyProtection="0"/>
    <xf numFmtId="0" fontId="69" fillId="60" borderId="0" applyNumberFormat="0" applyBorder="0" applyAlignment="0" applyProtection="0"/>
    <xf numFmtId="0" fontId="127" fillId="131" borderId="0" applyNumberFormat="0" applyBorder="0" applyAlignment="0" applyProtection="0"/>
    <xf numFmtId="0" fontId="151" fillId="60" borderId="0" applyNumberFormat="0" applyBorder="0" applyAlignment="0" applyProtection="0"/>
    <xf numFmtId="0" fontId="69" fillId="60" borderId="0" applyNumberFormat="0" applyBorder="0" applyAlignment="0" applyProtection="0"/>
    <xf numFmtId="187" fontId="69" fillId="60" borderId="0" applyNumberFormat="0" applyBorder="0" applyAlignment="0" applyProtection="0"/>
    <xf numFmtId="186" fontId="76" fillId="0" borderId="0"/>
    <xf numFmtId="186" fontId="76" fillId="0" borderId="0"/>
    <xf numFmtId="178" fontId="8" fillId="0" borderId="0"/>
    <xf numFmtId="178" fontId="8" fillId="0" borderId="0"/>
    <xf numFmtId="0" fontId="76" fillId="0" borderId="0"/>
    <xf numFmtId="0" fontId="8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8" fillId="0" borderId="0"/>
    <xf numFmtId="0" fontId="76" fillId="0" borderId="0"/>
    <xf numFmtId="0" fontId="1" fillId="0" borderId="0"/>
    <xf numFmtId="0" fontId="8" fillId="0" borderId="0"/>
    <xf numFmtId="0" fontId="1" fillId="0" borderId="0"/>
    <xf numFmtId="0" fontId="92" fillId="0" borderId="0"/>
    <xf numFmtId="0" fontId="8" fillId="0" borderId="0"/>
    <xf numFmtId="187" fontId="8" fillId="0" borderId="0"/>
    <xf numFmtId="0" fontId="76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8" fillId="0" borderId="0"/>
    <xf numFmtId="0" fontId="37" fillId="0" borderId="0"/>
    <xf numFmtId="0" fontId="8" fillId="0" borderId="0"/>
    <xf numFmtId="0" fontId="8" fillId="0" borderId="0"/>
    <xf numFmtId="0" fontId="37" fillId="0" borderId="0"/>
    <xf numFmtId="0" fontId="8" fillId="0" borderId="0"/>
    <xf numFmtId="0" fontId="37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1" fillId="0" borderId="0"/>
    <xf numFmtId="0" fontId="92" fillId="0" borderId="0"/>
    <xf numFmtId="0" fontId="128" fillId="0" borderId="0"/>
    <xf numFmtId="0" fontId="165" fillId="0" borderId="0"/>
    <xf numFmtId="0" fontId="76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0" fontId="8" fillId="0" borderId="0"/>
    <xf numFmtId="0" fontId="1" fillId="0" borderId="0"/>
    <xf numFmtId="0" fontId="8" fillId="0" borderId="0"/>
    <xf numFmtId="0" fontId="39" fillId="0" borderId="0"/>
    <xf numFmtId="0" fontId="1" fillId="0" borderId="0"/>
    <xf numFmtId="0" fontId="92" fillId="0" borderId="0"/>
    <xf numFmtId="0" fontId="76" fillId="0" borderId="0"/>
    <xf numFmtId="0" fontId="8" fillId="0" borderId="0"/>
    <xf numFmtId="0" fontId="92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0" fontId="8" fillId="0" borderId="0"/>
    <xf numFmtId="0" fontId="8" fillId="0" borderId="0"/>
    <xf numFmtId="0" fontId="8" fillId="0" borderId="0"/>
    <xf numFmtId="0" fontId="92" fillId="0" borderId="0"/>
    <xf numFmtId="0" fontId="8" fillId="0" borderId="0"/>
    <xf numFmtId="0" fontId="1" fillId="0" borderId="0"/>
    <xf numFmtId="0" fontId="92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76" fillId="0" borderId="0"/>
    <xf numFmtId="0" fontId="8" fillId="0" borderId="0"/>
    <xf numFmtId="0" fontId="1" fillId="0" borderId="0"/>
    <xf numFmtId="187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2" fillId="0" borderId="0"/>
    <xf numFmtId="0" fontId="92" fillId="0" borderId="0"/>
    <xf numFmtId="0" fontId="1" fillId="0" borderId="0"/>
    <xf numFmtId="0" fontId="76" fillId="0" borderId="0"/>
    <xf numFmtId="0" fontId="8" fillId="0" borderId="0"/>
    <xf numFmtId="187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4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76" fillId="0" borderId="0"/>
    <xf numFmtId="0" fontId="1" fillId="0" borderId="0"/>
    <xf numFmtId="0" fontId="157" fillId="0" borderId="0"/>
    <xf numFmtId="0" fontId="8" fillId="0" borderId="0"/>
    <xf numFmtId="0" fontId="8" fillId="0" borderId="0"/>
    <xf numFmtId="0" fontId="33" fillId="0" borderId="0"/>
    <xf numFmtId="0" fontId="33" fillId="0" borderId="0"/>
    <xf numFmtId="0" fontId="33" fillId="0" borderId="0"/>
    <xf numFmtId="0" fontId="8" fillId="0" borderId="0"/>
    <xf numFmtId="0" fontId="33" fillId="0" borderId="0"/>
    <xf numFmtId="0" fontId="8" fillId="0" borderId="0"/>
    <xf numFmtId="0" fontId="7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92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33" fillId="12" borderId="14" applyNumberFormat="0" applyFont="0" applyAlignment="0" applyProtection="0"/>
    <xf numFmtId="0" fontId="33" fillId="12" borderId="14" applyNumberFormat="0" applyFont="0" applyAlignment="0" applyProtection="0"/>
    <xf numFmtId="0" fontId="33" fillId="12" borderId="14" applyNumberFormat="0" applyFont="0" applyAlignment="0" applyProtection="0"/>
    <xf numFmtId="0" fontId="33" fillId="12" borderId="14" applyNumberFormat="0" applyFont="0" applyAlignment="0" applyProtection="0"/>
    <xf numFmtId="0" fontId="33" fillId="12" borderId="14" applyNumberFormat="0" applyFont="0" applyAlignment="0" applyProtection="0"/>
    <xf numFmtId="0" fontId="33" fillId="12" borderId="14" applyNumberFormat="0" applyFont="0" applyAlignment="0" applyProtection="0"/>
    <xf numFmtId="0" fontId="78" fillId="129" borderId="51" applyNumberFormat="0" applyAlignment="0" applyProtection="0"/>
    <xf numFmtId="0" fontId="41" fillId="12" borderId="14" applyNumberFormat="0" applyFont="0" applyAlignment="0" applyProtection="0"/>
    <xf numFmtId="0" fontId="88" fillId="129" borderId="52" applyNumberFormat="0" applyAlignment="0" applyProtection="0"/>
    <xf numFmtId="0" fontId="1" fillId="12" borderId="14" applyNumberFormat="0" applyFont="0" applyAlignment="0" applyProtection="0"/>
    <xf numFmtId="0" fontId="88" fillId="129" borderId="23" applyNumberFormat="0" applyAlignment="0" applyProtection="0"/>
    <xf numFmtId="0" fontId="8" fillId="61" borderId="23" applyNumberFormat="0" applyFont="0" applyAlignment="0" applyProtection="0"/>
    <xf numFmtId="0" fontId="88" fillId="129" borderId="51" applyNumberForma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88" fillId="129" borderId="51" applyNumberForma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88" fillId="129" borderId="51" applyNumberForma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88" fillId="129" borderId="51" applyNumberForma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187" fontId="41" fillId="12" borderId="14" applyNumberFormat="0" applyFont="0" applyAlignment="0" applyProtection="0"/>
    <xf numFmtId="0" fontId="33" fillId="12" borderId="14" applyNumberFormat="0" applyFont="0" applyAlignment="0" applyProtection="0"/>
    <xf numFmtId="0" fontId="88" fillId="129" borderId="23" applyNumberFormat="0" applyAlignment="0" applyProtection="0"/>
    <xf numFmtId="0" fontId="33" fillId="12" borderId="14" applyNumberFormat="0" applyFont="0" applyAlignment="0" applyProtection="0"/>
    <xf numFmtId="0" fontId="84" fillId="61" borderId="23" applyNumberFormat="0" applyFont="0" applyAlignment="0" applyProtection="0"/>
    <xf numFmtId="0" fontId="8" fillId="61" borderId="23" applyNumberFormat="0" applyFont="0" applyAlignment="0" applyProtection="0"/>
    <xf numFmtId="0" fontId="8" fillId="61" borderId="23" applyNumberFormat="0" applyFont="0" applyAlignment="0" applyProtection="0"/>
    <xf numFmtId="0" fontId="33" fillId="12" borderId="14" applyNumberFormat="0" applyFont="0" applyAlignment="0" applyProtection="0"/>
    <xf numFmtId="187" fontId="8" fillId="61" borderId="23" applyNumberFormat="0" applyFont="0" applyAlignment="0" applyProtection="0"/>
    <xf numFmtId="0" fontId="33" fillId="12" borderId="14" applyNumberFormat="0" applyFont="0" applyAlignment="0" applyProtection="0"/>
    <xf numFmtId="0" fontId="33" fillId="12" borderId="14" applyNumberFormat="0" applyFont="0" applyAlignment="0" applyProtection="0"/>
    <xf numFmtId="0" fontId="33" fillId="12" borderId="14" applyNumberFormat="0" applyFont="0" applyAlignment="0" applyProtection="0"/>
    <xf numFmtId="0" fontId="33" fillId="12" borderId="14" applyNumberFormat="0" applyFont="0" applyAlignment="0" applyProtection="0"/>
    <xf numFmtId="0" fontId="33" fillId="12" borderId="14" applyNumberFormat="0" applyFont="0" applyAlignment="0" applyProtection="0"/>
    <xf numFmtId="0" fontId="54" fillId="45" borderId="11" applyNumberFormat="0" applyAlignment="0" applyProtection="0"/>
    <xf numFmtId="0" fontId="54" fillId="45" borderId="11" applyNumberFormat="0" applyAlignment="0" applyProtection="0"/>
    <xf numFmtId="0" fontId="54" fillId="45" borderId="11" applyNumberFormat="0" applyAlignment="0" applyProtection="0"/>
    <xf numFmtId="0" fontId="54" fillId="45" borderId="11" applyNumberFormat="0" applyAlignment="0" applyProtection="0"/>
    <xf numFmtId="0" fontId="54" fillId="45" borderId="11" applyNumberFormat="0" applyAlignment="0" applyProtection="0"/>
    <xf numFmtId="0" fontId="54" fillId="45" borderId="11" applyNumberFormat="0" applyAlignment="0" applyProtection="0"/>
    <xf numFmtId="0" fontId="26" fillId="10" borderId="11" applyNumberFormat="0" applyAlignment="0" applyProtection="0"/>
    <xf numFmtId="0" fontId="129" fillId="119" borderId="24" applyNumberFormat="0" applyAlignment="0" applyProtection="0"/>
    <xf numFmtId="0" fontId="129" fillId="120" borderId="24" applyNumberFormat="0" applyAlignment="0" applyProtection="0"/>
    <xf numFmtId="0" fontId="70" fillId="58" borderId="24" applyNumberFormat="0" applyAlignment="0" applyProtection="0"/>
    <xf numFmtId="0" fontId="129" fillId="119" borderId="24" applyNumberFormat="0" applyAlignment="0" applyProtection="0"/>
    <xf numFmtId="0" fontId="26" fillId="45" borderId="11" applyNumberFormat="0" applyAlignment="0" applyProtection="0"/>
    <xf numFmtId="0" fontId="26" fillId="45" borderId="11" applyNumberFormat="0" applyAlignment="0" applyProtection="0"/>
    <xf numFmtId="187" fontId="26" fillId="45" borderId="11" applyNumberFormat="0" applyAlignment="0" applyProtection="0"/>
    <xf numFmtId="0" fontId="129" fillId="121" borderId="24" applyNumberFormat="0" applyAlignment="0" applyProtection="0"/>
    <xf numFmtId="0" fontId="129" fillId="120" borderId="24" applyNumberFormat="0" applyAlignment="0" applyProtection="0"/>
    <xf numFmtId="0" fontId="90" fillId="58" borderId="24" applyNumberFormat="0" applyAlignment="0" applyProtection="0"/>
    <xf numFmtId="0" fontId="70" fillId="58" borderId="24" applyNumberFormat="0" applyAlignment="0" applyProtection="0"/>
    <xf numFmtId="0" fontId="130" fillId="120" borderId="24" applyNumberFormat="0" applyAlignment="0" applyProtection="0"/>
    <xf numFmtId="0" fontId="90" fillId="58" borderId="24" applyNumberFormat="0" applyAlignment="0" applyProtection="0"/>
    <xf numFmtId="0" fontId="70" fillId="58" borderId="24" applyNumberFormat="0" applyAlignment="0" applyProtection="0"/>
    <xf numFmtId="187" fontId="70" fillId="58" borderId="24" applyNumberFormat="0" applyAlignment="0" applyProtection="0"/>
    <xf numFmtId="0" fontId="54" fillId="45" borderId="11" applyNumberFormat="0" applyAlignment="0" applyProtection="0"/>
    <xf numFmtId="0" fontId="54" fillId="45" borderId="11" applyNumberFormat="0" applyAlignment="0" applyProtection="0"/>
    <xf numFmtId="0" fontId="54" fillId="45" borderId="11" applyNumberFormat="0" applyAlignment="0" applyProtection="0"/>
    <xf numFmtId="9" fontId="37" fillId="0" borderId="0" applyFont="0" applyFill="0" applyBorder="0" applyAlignment="0" applyProtection="0"/>
    <xf numFmtId="10" fontId="78" fillId="0" borderId="0" applyFill="0" applyBorder="0" applyAlignment="0" applyProtection="0"/>
    <xf numFmtId="10" fontId="88" fillId="0" borderId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88" fillId="0" borderId="0" applyFill="0" applyBorder="0" applyAlignment="0" applyProtection="0"/>
    <xf numFmtId="9" fontId="4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8" fillId="0" borderId="0" applyFill="0" applyBorder="0" applyAlignment="0" applyProtection="0"/>
    <xf numFmtId="9" fontId="4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8" fillId="0" borderId="0" applyFill="0" applyBorder="0" applyAlignment="0" applyProtection="0"/>
    <xf numFmtId="9" fontId="8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88" fillId="0" borderId="0" applyFill="0" applyBorder="0" applyAlignment="0" applyProtection="0"/>
    <xf numFmtId="9" fontId="4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78" fillId="0" borderId="0" applyFill="0" applyBorder="0" applyAlignment="0" applyProtection="0"/>
    <xf numFmtId="9" fontId="78" fillId="0" borderId="0" applyFill="0" applyBorder="0" applyAlignment="0" applyProtection="0"/>
    <xf numFmtId="9" fontId="78" fillId="0" borderId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8" fillId="0" borderId="0" applyFill="0" applyBorder="0" applyAlignment="0" applyProtection="0"/>
    <xf numFmtId="9" fontId="4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8" fillId="0" borderId="0" applyFill="0" applyBorder="0" applyAlignment="0" applyProtection="0"/>
    <xf numFmtId="9" fontId="4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8" fillId="0" borderId="0" applyFill="0" applyBorder="0" applyAlignment="0" applyProtection="0"/>
    <xf numFmtId="9" fontId="4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8" fillId="0" borderId="0" applyFill="0" applyBorder="0" applyAlignment="0" applyProtection="0"/>
    <xf numFmtId="9" fontId="4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8" fillId="0" borderId="0" applyFill="0" applyBorder="0" applyAlignment="0" applyProtection="0"/>
    <xf numFmtId="9" fontId="4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8" fillId="0" borderId="0" applyFill="0" applyBorder="0" applyAlignment="0" applyProtection="0"/>
    <xf numFmtId="9" fontId="4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8" fillId="0" borderId="0" applyFill="0" applyBorder="0" applyAlignment="0" applyProtection="0"/>
    <xf numFmtId="9" fontId="4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8" fillId="0" borderId="0" applyFill="0" applyBorder="0" applyAlignment="0" applyProtection="0"/>
    <xf numFmtId="9" fontId="4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8" fillId="0" borderId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78" fillId="0" borderId="0" applyFill="0" applyBorder="0" applyAlignment="0" applyProtection="0"/>
    <xf numFmtId="9" fontId="88" fillId="0" borderId="0" applyFill="0" applyBorder="0" applyAlignment="0" applyProtection="0"/>
    <xf numFmtId="9" fontId="4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8" fillId="0" borderId="0" applyFill="0" applyBorder="0" applyAlignment="0" applyProtection="0"/>
    <xf numFmtId="9" fontId="8" fillId="0" borderId="0" applyFont="0" applyFill="0" applyBorder="0" applyAlignment="0" applyProtection="0"/>
    <xf numFmtId="9" fontId="88" fillId="0" borderId="0" applyFill="0" applyBorder="0" applyAlignment="0" applyProtection="0"/>
    <xf numFmtId="9" fontId="8" fillId="0" borderId="0" applyFont="0" applyFill="0" applyBorder="0" applyAlignment="0" applyProtection="0"/>
    <xf numFmtId="9" fontId="88" fillId="0" borderId="0" applyFill="0" applyBorder="0" applyAlignment="0" applyProtection="0"/>
    <xf numFmtId="9" fontId="8" fillId="0" borderId="0" applyFont="0" applyFill="0" applyBorder="0" applyAlignment="0" applyProtection="0"/>
    <xf numFmtId="9" fontId="88" fillId="0" borderId="0" applyFill="0" applyBorder="0" applyAlignment="0" applyProtection="0"/>
    <xf numFmtId="9" fontId="8" fillId="0" borderId="0" applyFont="0" applyFill="0" applyBorder="0" applyAlignment="0" applyProtection="0"/>
    <xf numFmtId="9" fontId="88" fillId="0" borderId="0" applyFill="0" applyBorder="0" applyAlignment="0" applyProtection="0"/>
    <xf numFmtId="9" fontId="8" fillId="0" borderId="0" applyFont="0" applyFill="0" applyBorder="0" applyAlignment="0" applyProtection="0"/>
    <xf numFmtId="9" fontId="88" fillId="0" borderId="0" applyFill="0" applyBorder="0" applyAlignment="0" applyProtection="0"/>
    <xf numFmtId="9" fontId="8" fillId="0" borderId="0" applyFont="0" applyFill="0" applyBorder="0" applyAlignment="0" applyProtection="0"/>
    <xf numFmtId="9" fontId="88" fillId="0" borderId="0" applyFill="0" applyBorder="0" applyAlignment="0" applyProtection="0"/>
    <xf numFmtId="9" fontId="8" fillId="0" borderId="0" applyFont="0" applyFill="0" applyBorder="0" applyAlignment="0" applyProtection="0"/>
    <xf numFmtId="9" fontId="88" fillId="0" borderId="0" applyFill="0" applyBorder="0" applyAlignment="0" applyProtection="0"/>
    <xf numFmtId="9" fontId="8" fillId="0" borderId="0" applyFont="0" applyFill="0" applyBorder="0" applyAlignment="0" applyProtection="0"/>
    <xf numFmtId="9" fontId="88" fillId="0" borderId="0" applyFill="0" applyBorder="0" applyAlignment="0" applyProtection="0"/>
    <xf numFmtId="9" fontId="8" fillId="0" borderId="0" applyFont="0" applyFill="0" applyBorder="0" applyAlignment="0" applyProtection="0"/>
    <xf numFmtId="9" fontId="88" fillId="0" borderId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88" fillId="0" borderId="0" applyFill="0" applyBorder="0" applyAlignment="0" applyProtection="0"/>
    <xf numFmtId="9" fontId="41" fillId="0" borderId="0" applyFont="0" applyFill="0" applyBorder="0" applyAlignment="0" applyProtection="0"/>
    <xf numFmtId="9" fontId="88" fillId="0" borderId="0" applyFill="0" applyBorder="0" applyAlignment="0" applyProtection="0"/>
    <xf numFmtId="9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78" fillId="0" borderId="0" applyFill="0" applyBorder="0" applyAlignment="0" applyProtection="0"/>
    <xf numFmtId="9" fontId="88" fillId="0" borderId="0" applyFill="0" applyBorder="0" applyAlignment="0" applyProtection="0"/>
    <xf numFmtId="9" fontId="8" fillId="0" borderId="0" applyFont="0" applyFill="0" applyBorder="0" applyAlignment="0" applyProtection="0"/>
    <xf numFmtId="9" fontId="88" fillId="0" borderId="0" applyFill="0" applyBorder="0" applyAlignment="0" applyProtection="0"/>
    <xf numFmtId="9" fontId="8" fillId="0" borderId="0" applyFont="0" applyFill="0" applyBorder="0" applyAlignment="0" applyProtection="0"/>
    <xf numFmtId="9" fontId="88" fillId="0" borderId="0" applyFill="0" applyBorder="0" applyAlignment="0" applyProtection="0"/>
    <xf numFmtId="9" fontId="8" fillId="0" borderId="0" applyFont="0" applyFill="0" applyBorder="0" applyAlignment="0" applyProtection="0"/>
    <xf numFmtId="9" fontId="88" fillId="0" borderId="0" applyFill="0" applyBorder="0" applyAlignment="0" applyProtection="0"/>
    <xf numFmtId="9" fontId="8" fillId="0" borderId="0" applyFont="0" applyFill="0" applyBorder="0" applyAlignment="0" applyProtection="0"/>
    <xf numFmtId="0" fontId="88" fillId="0" borderId="0" applyNumberFormat="0" applyFill="0" applyBorder="0" applyAlignment="0" applyProtection="0"/>
    <xf numFmtId="9" fontId="8" fillId="0" borderId="0" applyFont="0" applyFill="0" applyBorder="0" applyAlignment="0" applyProtection="0"/>
    <xf numFmtId="9" fontId="78" fillId="0" borderId="0" applyFill="0" applyBorder="0" applyAlignment="0" applyProtection="0"/>
    <xf numFmtId="9" fontId="88" fillId="0" borderId="0" applyFill="0" applyBorder="0" applyAlignment="0" applyProtection="0"/>
    <xf numFmtId="9" fontId="8" fillId="0" borderId="0" applyFont="0" applyFill="0" applyBorder="0" applyAlignment="0" applyProtection="0"/>
    <xf numFmtId="9" fontId="88" fillId="0" borderId="0" applyFill="0" applyBorder="0" applyAlignment="0" applyProtection="0"/>
    <xf numFmtId="9" fontId="4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8" fillId="0" borderId="0" applyFill="0" applyBorder="0" applyAlignment="0" applyProtection="0"/>
    <xf numFmtId="9" fontId="4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8" fillId="0" borderId="0" applyFill="0" applyBorder="0" applyAlignment="0" applyProtection="0"/>
    <xf numFmtId="9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41" fillId="0" borderId="0" applyFont="0" applyFill="0" applyBorder="0" applyAlignment="0" applyProtection="0"/>
    <xf numFmtId="9" fontId="88" fillId="0" borderId="0" applyFill="0" applyBorder="0" applyAlignment="0" applyProtection="0"/>
    <xf numFmtId="9" fontId="41" fillId="0" borderId="0" applyFont="0" applyFill="0" applyBorder="0" applyAlignment="0" applyProtection="0"/>
    <xf numFmtId="9" fontId="88" fillId="0" borderId="0" applyFill="0" applyBorder="0" applyAlignment="0" applyProtection="0"/>
    <xf numFmtId="9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4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4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4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9" fontId="88" fillId="0" borderId="0" applyFill="0" applyBorder="0" applyAlignment="0" applyProtection="0"/>
    <xf numFmtId="0" fontId="88" fillId="0" borderId="0" applyNumberFormat="0" applyFill="0" applyBorder="0" applyAlignment="0" applyProtection="0"/>
    <xf numFmtId="0" fontId="138" fillId="0" borderId="0" applyNumberFormat="0" applyFont="0" applyFill="0" applyBorder="0" applyAlignment="0" applyProtection="0">
      <alignment horizontal="left"/>
    </xf>
    <xf numFmtId="0" fontId="166" fillId="0" borderId="0" applyNumberFormat="0" applyBorder="0" applyAlignment="0"/>
    <xf numFmtId="0" fontId="167" fillId="0" borderId="0" applyNumberFormat="0" applyBorder="0" applyAlignment="0"/>
    <xf numFmtId="0" fontId="168" fillId="0" borderId="0" applyNumberFormat="0" applyBorder="0" applyAlignment="0"/>
    <xf numFmtId="0" fontId="131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187" fontId="91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187" fontId="7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5" fillId="0" borderId="53" applyNumberFormat="0" applyFill="0" applyAlignment="0" applyProtection="0"/>
    <xf numFmtId="0" fontId="55" fillId="0" borderId="53" applyNumberFormat="0" applyFill="0" applyAlignment="0" applyProtection="0"/>
    <xf numFmtId="0" fontId="55" fillId="0" borderId="53" applyNumberFormat="0" applyFill="0" applyAlignment="0" applyProtection="0"/>
    <xf numFmtId="0" fontId="55" fillId="0" borderId="53" applyNumberFormat="0" applyFill="0" applyAlignment="0" applyProtection="0"/>
    <xf numFmtId="0" fontId="55" fillId="0" borderId="53" applyNumberFormat="0" applyFill="0" applyAlignment="0" applyProtection="0"/>
    <xf numFmtId="0" fontId="55" fillId="0" borderId="53" applyNumberFormat="0" applyFill="0" applyAlignment="0" applyProtection="0"/>
    <xf numFmtId="0" fontId="17" fillId="0" borderId="15" applyNumberFormat="0" applyFill="0" applyAlignment="0" applyProtection="0"/>
    <xf numFmtId="0" fontId="133" fillId="0" borderId="54" applyNumberFormat="0" applyFill="0" applyAlignment="0" applyProtection="0"/>
    <xf numFmtId="0" fontId="88" fillId="0" borderId="0" applyNumberFormat="0" applyBorder="0" applyAlignment="0" applyProtection="0"/>
    <xf numFmtId="0" fontId="8" fillId="0" borderId="55" applyNumberFormat="0" applyFont="0" applyBorder="0" applyAlignment="0" applyProtection="0"/>
    <xf numFmtId="0" fontId="133" fillId="0" borderId="54" applyNumberFormat="0" applyFill="0" applyAlignment="0" applyProtection="0"/>
    <xf numFmtId="0" fontId="17" fillId="0" borderId="53" applyNumberFormat="0" applyFill="0" applyAlignment="0" applyProtection="0"/>
    <xf numFmtId="0" fontId="133" fillId="0" borderId="25" applyNumberFormat="0" applyFill="0" applyAlignment="0" applyProtection="0"/>
    <xf numFmtId="0" fontId="72" fillId="0" borderId="25" applyNumberFormat="0" applyFill="0" applyAlignment="0" applyProtection="0"/>
    <xf numFmtId="0" fontId="17" fillId="0" borderId="53" applyNumberFormat="0" applyFill="0" applyAlignment="0" applyProtection="0"/>
    <xf numFmtId="187" fontId="17" fillId="0" borderId="53" applyNumberFormat="0" applyFill="0" applyAlignment="0" applyProtection="0"/>
    <xf numFmtId="0" fontId="88" fillId="0" borderId="0" applyNumberFormat="0" applyBorder="0" applyAlignment="0" applyProtection="0"/>
    <xf numFmtId="0" fontId="8" fillId="0" borderId="55" applyNumberFormat="0" applyFont="0" applyBorder="0" applyAlignment="0" applyProtection="0"/>
    <xf numFmtId="0" fontId="133" fillId="0" borderId="25" applyNumberFormat="0" applyFill="0" applyAlignment="0" applyProtection="0"/>
    <xf numFmtId="0" fontId="87" fillId="0" borderId="25" applyNumberFormat="0" applyFill="0" applyAlignment="0" applyProtection="0"/>
    <xf numFmtId="0" fontId="72" fillId="0" borderId="25" applyNumberFormat="0" applyFill="0" applyAlignment="0" applyProtection="0"/>
    <xf numFmtId="0" fontId="8" fillId="0" borderId="55" applyNumberFormat="0" applyFont="0" applyBorder="0" applyAlignment="0" applyProtection="0"/>
    <xf numFmtId="0" fontId="72" fillId="0" borderId="25" applyNumberFormat="0" applyFill="0" applyAlignment="0" applyProtection="0"/>
    <xf numFmtId="187" fontId="72" fillId="0" borderId="25" applyNumberFormat="0" applyFill="0" applyAlignment="0" applyProtection="0"/>
    <xf numFmtId="0" fontId="55" fillId="0" borderId="53" applyNumberFormat="0" applyFill="0" applyAlignment="0" applyProtection="0"/>
    <xf numFmtId="0" fontId="55" fillId="0" borderId="53" applyNumberFormat="0" applyFill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87" fontId="30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87" fontId="73" fillId="0" borderId="0" applyNumberFormat="0" applyFill="0" applyBorder="0" applyAlignment="0" applyProtection="0"/>
    <xf numFmtId="0" fontId="1" fillId="14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87" fontId="1" fillId="45" borderId="0" applyNumberFormat="0" applyBorder="0" applyAlignment="0" applyProtection="0"/>
    <xf numFmtId="0" fontId="1" fillId="18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187" fontId="1" fillId="47" borderId="0" applyNumberFormat="0" applyBorder="0" applyAlignment="0" applyProtection="0"/>
    <xf numFmtId="0" fontId="1" fillId="22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187" fontId="1" fillId="61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87" fontId="1" fillId="4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7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187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87" fontId="1" fillId="5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87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187" fontId="1" fillId="60" borderId="0" applyNumberFormat="0" applyBorder="0" applyAlignment="0" applyProtection="0"/>
    <xf numFmtId="0" fontId="1" fillId="2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87" fontId="1" fillId="5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87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187" fontId="1" fillId="60" borderId="0" applyNumberFormat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18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12" borderId="14" applyNumberFormat="0" applyFont="0" applyAlignment="0" applyProtection="0"/>
    <xf numFmtId="0" fontId="33" fillId="12" borderId="14" applyNumberFormat="0" applyFont="0" applyAlignment="0" applyProtection="0"/>
    <xf numFmtId="0" fontId="33" fillId="12" borderId="14" applyNumberFormat="0" applyFont="0" applyAlignment="0" applyProtection="0"/>
    <xf numFmtId="0" fontId="33" fillId="12" borderId="14" applyNumberFormat="0" applyFont="0" applyAlignment="0" applyProtection="0"/>
    <xf numFmtId="0" fontId="33" fillId="12" borderId="14" applyNumberFormat="0" applyFont="0" applyAlignment="0" applyProtection="0"/>
    <xf numFmtId="0" fontId="33" fillId="12" borderId="14" applyNumberFormat="0" applyFont="0" applyAlignment="0" applyProtection="0"/>
    <xf numFmtId="0" fontId="41" fillId="12" borderId="14" applyNumberFormat="0" applyFont="0" applyAlignment="0" applyProtection="0"/>
    <xf numFmtId="0" fontId="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0" fontId="41" fillId="12" borderId="14" applyNumberFormat="0" applyFont="0" applyAlignment="0" applyProtection="0"/>
    <xf numFmtId="187" fontId="41" fillId="12" borderId="14" applyNumberFormat="0" applyFont="0" applyAlignment="0" applyProtection="0"/>
    <xf numFmtId="0" fontId="33" fillId="12" borderId="14" applyNumberFormat="0" applyFont="0" applyAlignment="0" applyProtection="0"/>
    <xf numFmtId="0" fontId="33" fillId="12" borderId="14" applyNumberFormat="0" applyFont="0" applyAlignment="0" applyProtection="0"/>
    <xf numFmtId="0" fontId="33" fillId="12" borderId="14" applyNumberFormat="0" applyFont="0" applyAlignment="0" applyProtection="0"/>
    <xf numFmtId="9" fontId="37" fillId="0" borderId="0" applyFont="0" applyFill="0" applyBorder="0" applyAlignment="0" applyProtection="0"/>
    <xf numFmtId="0" fontId="33" fillId="12" borderId="14" applyNumberFormat="0" applyFont="0" applyAlignment="0" applyProtection="0"/>
    <xf numFmtId="0" fontId="33" fillId="12" borderId="14" applyNumberFormat="0" applyFont="0" applyAlignment="0" applyProtection="0"/>
    <xf numFmtId="0" fontId="33" fillId="12" borderId="14" applyNumberFormat="0" applyFont="0" applyAlignment="0" applyProtection="0"/>
    <xf numFmtId="0" fontId="33" fillId="12" borderId="14" applyNumberFormat="0" applyFont="0" applyAlignment="0" applyProtection="0"/>
    <xf numFmtId="9" fontId="37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</cellStyleXfs>
  <cellXfs count="200">
    <xf numFmtId="0" fontId="0" fillId="0" borderId="0" xfId="0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17" fontId="0" fillId="0" borderId="0" xfId="0" applyNumberFormat="1"/>
    <xf numFmtId="0" fontId="0" fillId="0" borderId="0" xfId="0" applyAlignment="1">
      <alignment horizontal="right"/>
    </xf>
    <xf numFmtId="167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10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 wrapText="1"/>
    </xf>
    <xf numFmtId="3" fontId="10" fillId="0" borderId="0" xfId="0" applyNumberFormat="1" applyFont="1" applyAlignment="1">
      <alignment horizontal="center" wrapText="1"/>
    </xf>
    <xf numFmtId="3" fontId="8" fillId="0" borderId="0" xfId="1" applyNumberFormat="1" applyAlignment="1">
      <alignment horizontal="center"/>
    </xf>
    <xf numFmtId="10" fontId="0" fillId="0" borderId="0" xfId="0" applyNumberFormat="1" applyAlignment="1">
      <alignment horizontal="center"/>
    </xf>
    <xf numFmtId="0" fontId="11" fillId="0" borderId="0" xfId="0" applyFont="1"/>
    <xf numFmtId="3" fontId="0" fillId="2" borderId="0" xfId="0" applyNumberFormat="1" applyFill="1" applyAlignment="1">
      <alignment horizontal="center"/>
    </xf>
    <xf numFmtId="17" fontId="11" fillId="0" borderId="0" xfId="0" applyNumberFormat="1" applyFont="1"/>
    <xf numFmtId="169" fontId="0" fillId="0" borderId="0" xfId="0" applyNumberFormat="1" applyAlignment="1">
      <alignment horizontal="center"/>
    </xf>
    <xf numFmtId="170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171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right"/>
    </xf>
    <xf numFmtId="168" fontId="0" fillId="0" borderId="0" xfId="0" applyNumberFormat="1" applyAlignment="1">
      <alignment horizontal="center"/>
    </xf>
    <xf numFmtId="3" fontId="0" fillId="3" borderId="0" xfId="0" applyNumberFormat="1" applyFill="1" applyAlignment="1">
      <alignment horizontal="center"/>
    </xf>
    <xf numFmtId="3" fontId="9" fillId="3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3" fontId="11" fillId="0" borderId="0" xfId="0" applyNumberFormat="1" applyFont="1"/>
    <xf numFmtId="0" fontId="12" fillId="0" borderId="0" xfId="0" applyFont="1"/>
    <xf numFmtId="167" fontId="0" fillId="0" borderId="0" xfId="0" applyNumberFormat="1" applyAlignment="1">
      <alignment horizontal="center" wrapText="1"/>
    </xf>
    <xf numFmtId="0" fontId="11" fillId="0" borderId="0" xfId="0" applyFont="1" applyAlignment="1">
      <alignment horizontal="center" wrapText="1"/>
    </xf>
    <xf numFmtId="37" fontId="0" fillId="0" borderId="0" xfId="0" applyNumberFormat="1" applyAlignment="1">
      <alignment horizontal="center"/>
    </xf>
    <xf numFmtId="17" fontId="0" fillId="0" borderId="0" xfId="0" applyNumberFormat="1" applyAlignment="1">
      <alignment horizontal="left"/>
    </xf>
    <xf numFmtId="166" fontId="0" fillId="0" borderId="0" xfId="1" applyFont="1" applyAlignment="1">
      <alignment horizontal="center"/>
    </xf>
    <xf numFmtId="172" fontId="0" fillId="0" borderId="0" xfId="1" applyNumberFormat="1" applyFont="1" applyAlignment="1">
      <alignment horizontal="center"/>
    </xf>
    <xf numFmtId="3" fontId="0" fillId="0" borderId="0" xfId="0" applyNumberFormat="1"/>
    <xf numFmtId="172" fontId="0" fillId="0" borderId="0" xfId="0" applyNumberFormat="1" applyAlignment="1">
      <alignment horizontal="center"/>
    </xf>
    <xf numFmtId="3" fontId="0" fillId="4" borderId="0" xfId="0" applyNumberFormat="1" applyFill="1" applyAlignment="1">
      <alignment horizontal="center"/>
    </xf>
    <xf numFmtId="3" fontId="9" fillId="4" borderId="1" xfId="0" applyNumberFormat="1" applyFont="1" applyFill="1" applyBorder="1" applyAlignment="1">
      <alignment horizontal="center"/>
    </xf>
    <xf numFmtId="167" fontId="0" fillId="0" borderId="0" xfId="2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38" fontId="0" fillId="0" borderId="0" xfId="0" applyNumberFormat="1" applyAlignment="1">
      <alignment horizontal="center"/>
    </xf>
    <xf numFmtId="1" fontId="0" fillId="0" borderId="0" xfId="0" applyNumberFormat="1"/>
    <xf numFmtId="3" fontId="8" fillId="3" borderId="0" xfId="0" applyNumberFormat="1" applyFont="1" applyFill="1" applyAlignment="1">
      <alignment horizontal="center" wrapText="1"/>
    </xf>
    <xf numFmtId="17" fontId="0" fillId="0" borderId="1" xfId="0" applyNumberFormat="1" applyBorder="1" applyAlignment="1">
      <alignment horizontal="left"/>
    </xf>
    <xf numFmtId="37" fontId="9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9" fontId="8" fillId="4" borderId="0" xfId="0" applyNumberFormat="1" applyFont="1" applyFill="1" applyAlignment="1">
      <alignment horizontal="center"/>
    </xf>
    <xf numFmtId="9" fontId="0" fillId="4" borderId="0" xfId="0" applyNumberFormat="1" applyFill="1" applyAlignment="1">
      <alignment horizontal="center"/>
    </xf>
    <xf numFmtId="0" fontId="8" fillId="0" borderId="0" xfId="0" applyFont="1" applyAlignment="1">
      <alignment horizontal="center"/>
    </xf>
    <xf numFmtId="171" fontId="0" fillId="0" borderId="1" xfId="0" applyNumberFormat="1" applyBorder="1" applyAlignment="1">
      <alignment horizontal="center"/>
    </xf>
    <xf numFmtId="170" fontId="0" fillId="39" borderId="0" xfId="0" applyNumberFormat="1" applyFill="1" applyAlignment="1">
      <alignment horizontal="center"/>
    </xf>
    <xf numFmtId="37" fontId="9" fillId="4" borderId="1" xfId="0" applyNumberFormat="1" applyFont="1" applyFill="1" applyBorder="1" applyAlignment="1">
      <alignment horizontal="center"/>
    </xf>
    <xf numFmtId="12" fontId="0" fillId="0" borderId="0" xfId="0" applyNumberFormat="1"/>
    <xf numFmtId="12" fontId="9" fillId="0" borderId="0" xfId="0" applyNumberFormat="1" applyFont="1"/>
    <xf numFmtId="9" fontId="0" fillId="0" borderId="0" xfId="2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8" fillId="0" borderId="0" xfId="736" applyFont="1"/>
    <xf numFmtId="0" fontId="8" fillId="0" borderId="0" xfId="736" applyFont="1" applyAlignment="1">
      <alignment horizontal="center" vertical="center"/>
    </xf>
    <xf numFmtId="0" fontId="8" fillId="0" borderId="0" xfId="736" applyFont="1" applyAlignment="1">
      <alignment vertical="center"/>
    </xf>
    <xf numFmtId="0" fontId="8" fillId="0" borderId="0" xfId="736" applyFont="1" applyAlignment="1">
      <alignment horizontal="center"/>
    </xf>
    <xf numFmtId="0" fontId="8" fillId="0" borderId="0" xfId="1526" applyFont="1"/>
    <xf numFmtId="0" fontId="75" fillId="39" borderId="1" xfId="1524" applyFont="1" applyFill="1" applyBorder="1" applyAlignment="1">
      <alignment horizontal="center" vertical="center" wrapText="1"/>
    </xf>
    <xf numFmtId="0" fontId="77" fillId="0" borderId="0" xfId="1526" applyFont="1" applyAlignment="1">
      <alignment horizontal="left" vertical="center"/>
    </xf>
    <xf numFmtId="0" fontId="75" fillId="0" borderId="0" xfId="1524" applyFont="1" applyAlignment="1">
      <alignment horizontal="center" vertical="center" wrapText="1"/>
    </xf>
    <xf numFmtId="0" fontId="8" fillId="0" borderId="1" xfId="1526" applyFont="1" applyBorder="1" applyAlignment="1">
      <alignment horizontal="center"/>
    </xf>
    <xf numFmtId="0" fontId="8" fillId="0" borderId="30" xfId="1526" applyFont="1" applyBorder="1" applyAlignment="1">
      <alignment horizontal="center"/>
    </xf>
    <xf numFmtId="1" fontId="8" fillId="0" borderId="31" xfId="1526" applyNumberFormat="1" applyFont="1" applyBorder="1" applyAlignment="1">
      <alignment horizontal="center"/>
    </xf>
    <xf numFmtId="0" fontId="8" fillId="0" borderId="32" xfId="1526" applyFont="1" applyBorder="1" applyAlignment="1">
      <alignment horizontal="left"/>
    </xf>
    <xf numFmtId="2" fontId="15" fillId="0" borderId="31" xfId="1526" applyNumberFormat="1" applyFont="1" applyBorder="1" applyAlignment="1">
      <alignment horizontal="center"/>
    </xf>
    <xf numFmtId="0" fontId="8" fillId="0" borderId="30" xfId="1526" applyFont="1" applyBorder="1" applyAlignment="1">
      <alignment horizontal="left"/>
    </xf>
    <xf numFmtId="0" fontId="8" fillId="0" borderId="33" xfId="1526" applyFont="1" applyBorder="1" applyAlignment="1">
      <alignment horizontal="center"/>
    </xf>
    <xf numFmtId="2" fontId="15" fillId="0" borderId="30" xfId="1526" applyNumberFormat="1" applyFont="1" applyBorder="1" applyAlignment="1">
      <alignment horizontal="center"/>
    </xf>
    <xf numFmtId="0" fontId="8" fillId="0" borderId="6" xfId="1526" applyFont="1" applyBorder="1" applyAlignment="1">
      <alignment horizontal="left"/>
    </xf>
    <xf numFmtId="2" fontId="15" fillId="0" borderId="35" xfId="1526" applyNumberFormat="1" applyFont="1" applyBorder="1" applyAlignment="1">
      <alignment horizontal="center"/>
    </xf>
    <xf numFmtId="0" fontId="8" fillId="0" borderId="31" xfId="1526" applyFont="1" applyBorder="1" applyAlignment="1">
      <alignment horizontal="left"/>
    </xf>
    <xf numFmtId="0" fontId="11" fillId="0" borderId="1" xfId="1526" applyFont="1" applyBorder="1" applyAlignment="1">
      <alignment horizontal="center"/>
    </xf>
    <xf numFmtId="17" fontId="8" fillId="0" borderId="1" xfId="1526" applyNumberFormat="1" applyFont="1" applyBorder="1" applyAlignment="1">
      <alignment horizontal="left"/>
    </xf>
    <xf numFmtId="0" fontId="8" fillId="0" borderId="0" xfId="1526" applyFont="1" applyAlignment="1">
      <alignment horizontal="center"/>
    </xf>
    <xf numFmtId="1" fontId="8" fillId="63" borderId="1" xfId="1527" applyNumberFormat="1" applyFont="1" applyFill="1" applyBorder="1" applyAlignment="1">
      <alignment horizontal="center"/>
    </xf>
    <xf numFmtId="17" fontId="8" fillId="0" borderId="0" xfId="1526" applyNumberFormat="1" applyFont="1" applyAlignment="1">
      <alignment horizontal="left"/>
    </xf>
    <xf numFmtId="1" fontId="8" fillId="64" borderId="1" xfId="1527" applyNumberFormat="1" applyFont="1" applyFill="1" applyBorder="1" applyAlignment="1">
      <alignment horizontal="center"/>
    </xf>
    <xf numFmtId="1" fontId="8" fillId="64" borderId="29" xfId="1527" applyNumberFormat="1" applyFont="1" applyFill="1" applyBorder="1" applyAlignment="1">
      <alignment horizontal="center"/>
    </xf>
    <xf numFmtId="1" fontId="8" fillId="0" borderId="0" xfId="1526" applyNumberFormat="1" applyFont="1" applyAlignment="1">
      <alignment horizontal="center"/>
    </xf>
    <xf numFmtId="1" fontId="8" fillId="0" borderId="0" xfId="1526" applyNumberFormat="1" applyFont="1"/>
    <xf numFmtId="0" fontId="74" fillId="0" borderId="0" xfId="1524"/>
    <xf numFmtId="0" fontId="40" fillId="0" borderId="0" xfId="1526" applyFont="1" applyAlignment="1">
      <alignment horizontal="center"/>
    </xf>
    <xf numFmtId="1" fontId="40" fillId="0" borderId="0" xfId="1526" applyNumberFormat="1" applyFont="1" applyAlignment="1">
      <alignment horizontal="center"/>
    </xf>
    <xf numFmtId="37" fontId="9" fillId="62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8" fillId="65" borderId="0" xfId="0" quotePrefix="1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8" fillId="65" borderId="0" xfId="0" applyFont="1" applyFill="1" applyAlignment="1">
      <alignment horizontal="left"/>
    </xf>
    <xf numFmtId="0" fontId="0" fillId="0" borderId="1" xfId="0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2" fontId="10" fillId="0" borderId="1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80" fillId="0" borderId="0" xfId="0" applyFont="1"/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right"/>
    </xf>
    <xf numFmtId="10" fontId="0" fillId="0" borderId="0" xfId="2" applyNumberFormat="1" applyFont="1" applyAlignment="1">
      <alignment horizontal="center" vertical="center"/>
    </xf>
    <xf numFmtId="1" fontId="8" fillId="62" borderId="1" xfId="736" applyNumberFormat="1" applyFont="1" applyFill="1" applyBorder="1" applyAlignment="1">
      <alignment horizontal="center"/>
    </xf>
    <xf numFmtId="1" fontId="8" fillId="62" borderId="1" xfId="736" applyNumberFormat="1" applyFont="1" applyFill="1" applyBorder="1" applyAlignment="1">
      <alignment horizontal="center" wrapText="1"/>
    </xf>
    <xf numFmtId="0" fontId="11" fillId="68" borderId="1" xfId="736" applyFont="1" applyFill="1" applyBorder="1" applyAlignment="1">
      <alignment horizontal="center"/>
    </xf>
    <xf numFmtId="0" fontId="75" fillId="39" borderId="6" xfId="1524" applyFont="1" applyFill="1" applyBorder="1" applyAlignment="1">
      <alignment horizontal="center" vertical="center" wrapText="1"/>
    </xf>
    <xf numFmtId="0" fontId="75" fillId="67" borderId="30" xfId="1524" applyFont="1" applyFill="1" applyBorder="1" applyAlignment="1">
      <alignment horizontal="center" vertical="center" wrapText="1"/>
    </xf>
    <xf numFmtId="1" fontId="75" fillId="67" borderId="31" xfId="1524" applyNumberFormat="1" applyFont="1" applyFill="1" applyBorder="1" applyAlignment="1">
      <alignment horizontal="center" vertical="center" wrapText="1"/>
    </xf>
    <xf numFmtId="0" fontId="75" fillId="67" borderId="26" xfId="1524" applyFont="1" applyFill="1" applyBorder="1" applyAlignment="1">
      <alignment horizontal="center" vertical="center" wrapText="1"/>
    </xf>
    <xf numFmtId="1" fontId="75" fillId="67" borderId="27" xfId="1524" applyNumberFormat="1" applyFont="1" applyFill="1" applyBorder="1" applyAlignment="1">
      <alignment horizontal="center" vertical="center" wrapText="1"/>
    </xf>
    <xf numFmtId="0" fontId="75" fillId="67" borderId="28" xfId="1524" applyFont="1" applyFill="1" applyBorder="1" applyAlignment="1">
      <alignment horizontal="center" vertical="center" wrapText="1"/>
    </xf>
    <xf numFmtId="0" fontId="75" fillId="67" borderId="27" xfId="1524" applyFont="1" applyFill="1" applyBorder="1" applyAlignment="1">
      <alignment horizontal="center" vertical="center" wrapText="1"/>
    </xf>
    <xf numFmtId="0" fontId="75" fillId="67" borderId="29" xfId="1524" applyFont="1" applyFill="1" applyBorder="1" applyAlignment="1">
      <alignment horizontal="center" vertical="center" wrapText="1"/>
    </xf>
    <xf numFmtId="168" fontId="8" fillId="63" borderId="36" xfId="1" applyNumberFormat="1" applyFont="1" applyFill="1" applyBorder="1" applyAlignment="1">
      <alignment horizontal="center"/>
    </xf>
    <xf numFmtId="168" fontId="8" fillId="64" borderId="36" xfId="1" applyNumberFormat="1" applyFont="1" applyFill="1" applyBorder="1" applyAlignment="1">
      <alignment horizontal="center"/>
    </xf>
    <xf numFmtId="168" fontId="8" fillId="0" borderId="0" xfId="1526" applyNumberFormat="1" applyFont="1" applyAlignment="1">
      <alignment horizontal="center"/>
    </xf>
    <xf numFmtId="168" fontId="0" fillId="0" borderId="0" xfId="0" applyNumberFormat="1"/>
    <xf numFmtId="0" fontId="10" fillId="0" borderId="3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7" fontId="8" fillId="0" borderId="0" xfId="0" applyNumberFormat="1" applyFont="1" applyAlignment="1">
      <alignment horizontal="center"/>
    </xf>
    <xf numFmtId="37" fontId="8" fillId="0" borderId="0" xfId="0" applyNumberFormat="1" applyFont="1" applyAlignment="1">
      <alignment horizontal="center"/>
    </xf>
    <xf numFmtId="168" fontId="8" fillId="0" borderId="0" xfId="1526" applyNumberFormat="1" applyFont="1"/>
    <xf numFmtId="168" fontId="8" fillId="0" borderId="0" xfId="736" applyNumberFormat="1" applyFont="1" applyAlignment="1">
      <alignment horizontal="center"/>
    </xf>
    <xf numFmtId="3" fontId="8" fillId="3" borderId="0" xfId="0" applyNumberFormat="1" applyFont="1" applyFill="1" applyAlignment="1">
      <alignment horizontal="center"/>
    </xf>
    <xf numFmtId="37" fontId="0" fillId="0" borderId="0" xfId="0" applyNumberFormat="1"/>
    <xf numFmtId="3" fontId="8" fillId="0" borderId="40" xfId="0" applyNumberFormat="1" applyFont="1" applyBorder="1" applyAlignment="1">
      <alignment horizontal="center" vertical="center"/>
    </xf>
    <xf numFmtId="0" fontId="8" fillId="0" borderId="40" xfId="0" applyFont="1" applyBorder="1" applyAlignment="1">
      <alignment horizontal="right"/>
    </xf>
    <xf numFmtId="0" fontId="82" fillId="0" borderId="0" xfId="0" applyFont="1"/>
    <xf numFmtId="0" fontId="83" fillId="0" borderId="0" xfId="0" applyFont="1"/>
    <xf numFmtId="0" fontId="14" fillId="0" borderId="0" xfId="0" applyFont="1"/>
    <xf numFmtId="0" fontId="75" fillId="0" borderId="35" xfId="0" applyFont="1" applyBorder="1" applyAlignment="1">
      <alignment horizontal="right"/>
    </xf>
    <xf numFmtId="0" fontId="75" fillId="2" borderId="0" xfId="0" applyFont="1" applyFill="1"/>
    <xf numFmtId="0" fontId="14" fillId="0" borderId="0" xfId="0" applyFont="1" applyAlignment="1">
      <alignment horizontal="right"/>
    </xf>
    <xf numFmtId="166" fontId="14" fillId="0" borderId="0" xfId="0" applyNumberFormat="1" applyFont="1" applyAlignment="1">
      <alignment horizontal="right"/>
    </xf>
    <xf numFmtId="2" fontId="14" fillId="2" borderId="0" xfId="0" applyNumberFormat="1" applyFont="1" applyFill="1"/>
    <xf numFmtId="0" fontId="0" fillId="2" borderId="0" xfId="0" applyFill="1"/>
    <xf numFmtId="167" fontId="0" fillId="0" borderId="0" xfId="0" applyNumberFormat="1"/>
    <xf numFmtId="169" fontId="0" fillId="0" borderId="0" xfId="0" applyNumberFormat="1"/>
    <xf numFmtId="37" fontId="8" fillId="0" borderId="1" xfId="0" applyNumberFormat="1" applyFont="1" applyBorder="1" applyAlignment="1">
      <alignment horizontal="center"/>
    </xf>
    <xf numFmtId="37" fontId="8" fillId="62" borderId="1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12" fontId="8" fillId="0" borderId="1" xfId="0" applyNumberFormat="1" applyFont="1" applyBorder="1" applyAlignment="1">
      <alignment horizontal="center" vertical="center" wrapText="1"/>
    </xf>
    <xf numFmtId="0" fontId="15" fillId="0" borderId="0" xfId="736" applyFont="1"/>
    <xf numFmtId="0" fontId="15" fillId="0" borderId="0" xfId="736" applyFont="1" applyAlignment="1">
      <alignment horizontal="center"/>
    </xf>
    <xf numFmtId="0" fontId="15" fillId="0" borderId="0" xfId="0" applyFont="1"/>
    <xf numFmtId="37" fontId="8" fillId="65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 vertical="center" wrapText="1"/>
    </xf>
    <xf numFmtId="3" fontId="15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 wrapText="1"/>
    </xf>
    <xf numFmtId="168" fontId="15" fillId="64" borderId="36" xfId="1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3" fontId="8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9" fontId="15" fillId="0" borderId="0" xfId="0" applyNumberFormat="1" applyFont="1" applyAlignment="1">
      <alignment horizontal="center"/>
    </xf>
    <xf numFmtId="1" fontId="8" fillId="62" borderId="0" xfId="736" applyNumberFormat="1" applyFont="1" applyFill="1" applyAlignment="1">
      <alignment horizontal="center"/>
    </xf>
    <xf numFmtId="0" fontId="75" fillId="67" borderId="1" xfId="1524" applyFont="1" applyFill="1" applyBorder="1" applyAlignment="1">
      <alignment horizontal="center" vertical="center" wrapText="1"/>
    </xf>
    <xf numFmtId="0" fontId="81" fillId="0" borderId="0" xfId="1524" applyFont="1" applyAlignment="1">
      <alignment vertical="center"/>
    </xf>
    <xf numFmtId="3" fontId="0" fillId="0" borderId="0" xfId="0" applyNumberFormat="1" applyAlignment="1">
      <alignment horizontal="left"/>
    </xf>
    <xf numFmtId="1" fontId="8" fillId="0" borderId="0" xfId="0" applyNumberFormat="1" applyFont="1"/>
    <xf numFmtId="168" fontId="8" fillId="0" borderId="36" xfId="1" applyNumberFormat="1" applyFont="1" applyFill="1" applyBorder="1" applyAlignment="1">
      <alignment horizontal="center"/>
    </xf>
    <xf numFmtId="1" fontId="8" fillId="0" borderId="34" xfId="1526" applyNumberFormat="1" applyFont="1" applyBorder="1" applyAlignment="1">
      <alignment horizontal="center"/>
    </xf>
    <xf numFmtId="0" fontId="0" fillId="0" borderId="0" xfId="0" applyAlignment="1">
      <alignment wrapText="1"/>
    </xf>
    <xf numFmtId="1" fontId="0" fillId="0" borderId="57" xfId="0" applyNumberFormat="1" applyBorder="1"/>
    <xf numFmtId="0" fontId="0" fillId="0" borderId="1" xfId="0" applyBorder="1"/>
    <xf numFmtId="0" fontId="0" fillId="0" borderId="1" xfId="0" applyBorder="1" applyAlignment="1">
      <alignment wrapText="1"/>
    </xf>
    <xf numFmtId="167" fontId="0" fillId="4" borderId="0" xfId="2" applyNumberFormat="1" applyFont="1" applyFill="1" applyAlignment="1">
      <alignment horizontal="center"/>
    </xf>
    <xf numFmtId="0" fontId="0" fillId="0" borderId="2" xfId="0" applyBorder="1"/>
    <xf numFmtId="0" fontId="13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Continuous"/>
    </xf>
    <xf numFmtId="9" fontId="0" fillId="0" borderId="0" xfId="2" applyFont="1"/>
    <xf numFmtId="3" fontId="9" fillId="2" borderId="1" xfId="0" applyNumberFormat="1" applyFont="1" applyFill="1" applyBorder="1" applyAlignment="1">
      <alignment horizontal="center"/>
    </xf>
    <xf numFmtId="172" fontId="0" fillId="0" borderId="1" xfId="1" applyNumberFormat="1" applyFont="1" applyBorder="1"/>
    <xf numFmtId="172" fontId="0" fillId="0" borderId="0" xfId="1" applyNumberFormat="1" applyFont="1"/>
    <xf numFmtId="172" fontId="0" fillId="0" borderId="0" xfId="0" applyNumberFormat="1"/>
    <xf numFmtId="0" fontId="169" fillId="0" borderId="1" xfId="0" applyFont="1" applyBorder="1"/>
    <xf numFmtId="172" fontId="169" fillId="0" borderId="1" xfId="1" applyNumberFormat="1" applyFont="1" applyBorder="1"/>
    <xf numFmtId="0" fontId="169" fillId="0" borderId="0" xfId="0" applyFont="1"/>
    <xf numFmtId="188" fontId="8" fillId="0" borderId="1" xfId="0" applyNumberFormat="1" applyFont="1" applyBorder="1" applyAlignment="1">
      <alignment horizontal="center"/>
    </xf>
    <xf numFmtId="10" fontId="0" fillId="4" borderId="0" xfId="0" applyNumberFormat="1" applyFill="1"/>
    <xf numFmtId="166" fontId="0" fillId="0" borderId="0" xfId="1" applyFont="1"/>
    <xf numFmtId="166" fontId="0" fillId="0" borderId="2" xfId="1" applyFont="1" applyBorder="1"/>
    <xf numFmtId="3" fontId="170" fillId="0" borderId="0" xfId="0" applyNumberFormat="1" applyFont="1"/>
    <xf numFmtId="0" fontId="170" fillId="0" borderId="0" xfId="0" applyFont="1"/>
    <xf numFmtId="189" fontId="0" fillId="0" borderId="0" xfId="2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81" fillId="66" borderId="1" xfId="1524" applyFont="1" applyFill="1" applyBorder="1" applyAlignment="1">
      <alignment horizontal="center" vertical="center"/>
    </xf>
    <xf numFmtId="0" fontId="81" fillId="66" borderId="39" xfId="1524" applyFont="1" applyFill="1" applyBorder="1" applyAlignment="1">
      <alignment horizontal="center" vertical="center" wrapText="1"/>
    </xf>
    <xf numFmtId="0" fontId="81" fillId="66" borderId="4" xfId="1524" applyFont="1" applyFill="1" applyBorder="1" applyAlignment="1">
      <alignment horizontal="center" vertical="center" wrapText="1"/>
    </xf>
    <xf numFmtId="0" fontId="81" fillId="66" borderId="5" xfId="1524" applyFont="1" applyFill="1" applyBorder="1" applyAlignment="1">
      <alignment horizontal="center" vertical="center" wrapText="1"/>
    </xf>
    <xf numFmtId="0" fontId="81" fillId="66" borderId="1" xfId="1524" applyFont="1" applyFill="1" applyBorder="1" applyAlignment="1">
      <alignment horizontal="center" vertical="center" wrapText="1"/>
    </xf>
    <xf numFmtId="0" fontId="75" fillId="67" borderId="38" xfId="1524" applyFont="1" applyFill="1" applyBorder="1" applyAlignment="1">
      <alignment horizontal="center" vertical="center" wrapText="1"/>
    </xf>
    <xf numFmtId="0" fontId="75" fillId="67" borderId="35" xfId="1524" applyFont="1" applyFill="1" applyBorder="1" applyAlignment="1">
      <alignment horizontal="center" vertical="center" wrapText="1"/>
    </xf>
    <xf numFmtId="0" fontId="75" fillId="67" borderId="37" xfId="1524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 wrapText="1"/>
    </xf>
  </cellXfs>
  <cellStyles count="4063">
    <cellStyle name="$" xfId="14" xr:uid="{00000000-0005-0000-0000-000000000000}"/>
    <cellStyle name="$ 2" xfId="1539" xr:uid="{DC7D798C-1488-4733-AFBF-E75C8A1FEFA1}"/>
    <cellStyle name="$ 2 2" xfId="1540" xr:uid="{6C0B4F19-D21D-4109-B404-CEDB24A299B5}"/>
    <cellStyle name="$ 3" xfId="1541" xr:uid="{8BCFF237-4DC9-4F59-B6CA-D6D76C7C8F38}"/>
    <cellStyle name="$ 4" xfId="1538" xr:uid="{F6579872-0711-48C1-9F83-278B4E9A84C5}"/>
    <cellStyle name="$.00" xfId="15" xr:uid="{00000000-0005-0000-0000-000001000000}"/>
    <cellStyle name="$.00 2" xfId="1543" xr:uid="{53DA118D-C54E-40E0-AEE2-D5C804855109}"/>
    <cellStyle name="$.00 2 2" xfId="1544" xr:uid="{A05351D3-6DD3-4865-B37B-A0ACFC6F33E8}"/>
    <cellStyle name="$.00 3" xfId="1545" xr:uid="{82D93504-2258-491A-B3A0-20674296EFDF}"/>
    <cellStyle name="$.00 4" xfId="1542" xr:uid="{D6501155-B076-4AFF-926E-DD5E98D831D2}"/>
    <cellStyle name="$_9. Rev2Cost_GDPIPI" xfId="16" xr:uid="{00000000-0005-0000-0000-000002000000}"/>
    <cellStyle name="$_9. Rev2Cost_GDPIPI 2" xfId="1547" xr:uid="{D4B386D9-FF95-4D24-9E20-721607873219}"/>
    <cellStyle name="$_9. Rev2Cost_GDPIPI 2 2" xfId="1548" xr:uid="{F58DE77F-838A-46C8-86DE-2EA2982A2917}"/>
    <cellStyle name="$_9. Rev2Cost_GDPIPI 3" xfId="1549" xr:uid="{44A2580D-7DD4-4CE1-8FC9-78D1BB3FD127}"/>
    <cellStyle name="$_9. Rev2Cost_GDPIPI 4" xfId="1546" xr:uid="{AE141548-0417-4E93-85B8-FE8729A7A828}"/>
    <cellStyle name="$_lists" xfId="17" xr:uid="{00000000-0005-0000-0000-000003000000}"/>
    <cellStyle name="$_lists 2" xfId="1551" xr:uid="{7AAD034A-A202-44EF-979F-1193496A5204}"/>
    <cellStyle name="$_lists 2 2" xfId="1552" xr:uid="{3EB8DAD8-9BFE-4254-8D8D-0678DD655CFC}"/>
    <cellStyle name="$_lists 3" xfId="1553" xr:uid="{5C938A9C-4F76-4E63-9DAD-ED0A56C97372}"/>
    <cellStyle name="$_lists 4" xfId="1550" xr:uid="{9322C6C6-2E52-4FF7-8A86-FBB2118F4529}"/>
    <cellStyle name="$_lists_4. Current Monthly Fixed Charge" xfId="18" xr:uid="{00000000-0005-0000-0000-000004000000}"/>
    <cellStyle name="$_lists_4. Current Monthly Fixed Charge 2" xfId="1555" xr:uid="{7053EEE2-F137-408C-83E5-32B9A144DAF8}"/>
    <cellStyle name="$_lists_4. Current Monthly Fixed Charge 2 2" xfId="1556" xr:uid="{E0B43D43-2C10-4268-846B-D5134D1B64C1}"/>
    <cellStyle name="$_lists_4. Current Monthly Fixed Charge 3" xfId="1557" xr:uid="{E7EDB939-6194-4B98-8867-6CFC8D537BBD}"/>
    <cellStyle name="$_lists_4. Current Monthly Fixed Charge 4" xfId="1554" xr:uid="{59CE3787-1DA6-456C-903C-80451E5E8C82}"/>
    <cellStyle name="$_Sheet4" xfId="19" xr:uid="{00000000-0005-0000-0000-000005000000}"/>
    <cellStyle name="$_Sheet4 2" xfId="1559" xr:uid="{3700EE47-E3FF-4C5C-BB82-9FCF5FF1233A}"/>
    <cellStyle name="$_Sheet4 2 2" xfId="1560" xr:uid="{60EECBE1-503F-423C-BF50-EF9922EEF43A}"/>
    <cellStyle name="$_Sheet4 3" xfId="1561" xr:uid="{012E73D1-36EC-4471-9B8A-735CBA9F1B55}"/>
    <cellStyle name="$_Sheet4 4" xfId="1558" xr:uid="{1FBCFBB2-94B7-4A6E-B84F-CC8FAFE12759}"/>
    <cellStyle name="$M" xfId="20" xr:uid="{00000000-0005-0000-0000-000006000000}"/>
    <cellStyle name="$M 2" xfId="1563" xr:uid="{9EE3717D-1888-448E-B13E-CD1AAEDFB591}"/>
    <cellStyle name="$M 2 2" xfId="1564" xr:uid="{A2EF5F7F-7642-4F95-B72F-17890AF83740}"/>
    <cellStyle name="$M 2 3" xfId="1565" xr:uid="{61224D2A-FE7B-4AF1-9A8F-B6A9CEA0DB10}"/>
    <cellStyle name="$M 3" xfId="1566" xr:uid="{C5A5FA2C-AEA4-44D9-BABD-0877EE946B9A}"/>
    <cellStyle name="$M 3 2" xfId="1567" xr:uid="{4C571E8B-67D7-4DA3-8BF3-E2B60CDFCFD7}"/>
    <cellStyle name="$M 4" xfId="1562" xr:uid="{38BFAC89-03B4-459E-AAF2-EFA8DA81924F}"/>
    <cellStyle name="$M.00" xfId="21" xr:uid="{00000000-0005-0000-0000-000007000000}"/>
    <cellStyle name="$M.00 2" xfId="1569" xr:uid="{25F87AA8-8314-4150-A163-D3F3F14DEB46}"/>
    <cellStyle name="$M.00 2 2" xfId="1570" xr:uid="{D6F09EB0-9C67-415F-AA59-50BEE376C265}"/>
    <cellStyle name="$M.00 3" xfId="1571" xr:uid="{D58CD686-EFA1-48D5-99B9-52958681C1F3}"/>
    <cellStyle name="$M.00 4" xfId="1568" xr:uid="{61BD11B6-A556-42F0-9FEA-19A921B599DE}"/>
    <cellStyle name="$M_9. Rev2Cost_GDPIPI" xfId="22" xr:uid="{00000000-0005-0000-0000-000008000000}"/>
    <cellStyle name="20% - Accent1 10" xfId="104" xr:uid="{3FA1FFCA-BE3F-41A7-8993-95B3F773BA7C}"/>
    <cellStyle name="20% - Accent1 10 2" xfId="1572" xr:uid="{6BF4F35E-CD53-40DA-A3E8-EB010913EA80}"/>
    <cellStyle name="20% - Accent1 11" xfId="105" xr:uid="{5649297F-154B-4C02-A181-973285B19D7D}"/>
    <cellStyle name="20% - Accent1 11 2" xfId="1573" xr:uid="{58EC474C-27F2-420A-A569-972D3021F214}"/>
    <cellStyle name="20% - Accent1 12" xfId="106" xr:uid="{E383FC1D-9847-4DFF-966B-4A3C321502F6}"/>
    <cellStyle name="20% - Accent1 12 2" xfId="1574" xr:uid="{28274820-9463-491C-8723-C248550A8E69}"/>
    <cellStyle name="20% - Accent1 13" xfId="107" xr:uid="{1217E4AB-7DED-403D-A5CC-F233870FFAD1}"/>
    <cellStyle name="20% - Accent1 13 2" xfId="1575" xr:uid="{12D67808-C5AC-4C64-A177-03B3A7301B6C}"/>
    <cellStyle name="20% - Accent1 14" xfId="108" xr:uid="{94913466-AC2B-4CA2-A0C2-791B5ABBC469}"/>
    <cellStyle name="20% - Accent1 14 2" xfId="1576" xr:uid="{3820A38B-4985-4889-B43B-E4EEA39915A9}"/>
    <cellStyle name="20% - Accent1 15" xfId="109" xr:uid="{8AB6D119-F782-40E6-9646-B552CB37096B}"/>
    <cellStyle name="20% - Accent1 15 2" xfId="1577" xr:uid="{DC8C7AC5-8274-4CC3-B019-95E0762D6F8B}"/>
    <cellStyle name="20% - Accent1 16" xfId="769" xr:uid="{45FBF829-0047-4ADB-BC05-C028DF6644DA}"/>
    <cellStyle name="20% - Accent1 16 2" xfId="3469" xr:uid="{59963751-68F1-4EFB-AF29-F182BD11DFE9}"/>
    <cellStyle name="20% - Accent1 16 3" xfId="1578" xr:uid="{70B64D88-B31F-42FF-9F1A-DB4A5A4593A2}"/>
    <cellStyle name="20% - Accent1 2" xfId="23" xr:uid="{00000000-0005-0000-0000-000009000000}"/>
    <cellStyle name="20% - Accent1 2 10" xfId="1580" xr:uid="{A25F32B5-B08D-4360-BC3A-3EE096CE6BDB}"/>
    <cellStyle name="20% - Accent1 2 10 2" xfId="3470" xr:uid="{5D086149-83A9-4AA7-A4D9-F629A4DED597}"/>
    <cellStyle name="20% - Accent1 2 11" xfId="1581" xr:uid="{3989CC5F-7CA3-4CD7-B7E0-899308F3840C}"/>
    <cellStyle name="20% - Accent1 2 12" xfId="1579" xr:uid="{942641B2-9243-4B23-AF06-5532F3989BD6}"/>
    <cellStyle name="20% - Accent1 2 2" xfId="815" xr:uid="{1EAF84D8-4755-4733-849D-1BFF4F73BD94}"/>
    <cellStyle name="20% - Accent1 2 2 2" xfId="1583" xr:uid="{88FB1E26-4478-4E16-BA7F-0B6A9D922B3B}"/>
    <cellStyle name="20% - Accent1 2 2 3" xfId="1582" xr:uid="{D3E3A5E6-45FE-4EDF-B7B5-7F9CFCFE98E1}"/>
    <cellStyle name="20% - Accent1 2 3" xfId="110" xr:uid="{4A647E3F-96F3-4D22-89D1-F5D064BBDC62}"/>
    <cellStyle name="20% - Accent1 2 3 2" xfId="1585" xr:uid="{CFC01EA3-76A8-47E0-A6E5-FCE7C70A2654}"/>
    <cellStyle name="20% - Accent1 2 3 2 2" xfId="1586" xr:uid="{96809E70-28FC-47D9-84B0-2518EF49823C}"/>
    <cellStyle name="20% - Accent1 2 3 2 2 2" xfId="1587" xr:uid="{779FFF19-5BDC-4D17-96F7-48E6D68A2CD5}"/>
    <cellStyle name="20% - Accent1 2 3 2 2 2 2" xfId="3473" xr:uid="{9DD25969-B8B5-44AA-8E22-2C75DF0B5649}"/>
    <cellStyle name="20% - Accent1 2 3 2 2 3" xfId="1588" xr:uid="{DDF3D538-8CCD-46DA-B1E3-8700307B1105}"/>
    <cellStyle name="20% - Accent1 2 3 2 2 3 2" xfId="3474" xr:uid="{F77565E0-E154-43E5-AC5B-DF9AD464A66B}"/>
    <cellStyle name="20% - Accent1 2 3 2 2 4" xfId="3472" xr:uid="{BD2516C8-C482-48C7-89E3-8CCBB534CA16}"/>
    <cellStyle name="20% - Accent1 2 3 2 3" xfId="1589" xr:uid="{6C23FB39-BAA3-4C8B-BDBA-04C0A1F4FEC3}"/>
    <cellStyle name="20% - Accent1 2 3 2 3 2" xfId="3475" xr:uid="{7D604F0E-F7E9-420A-870E-EE60F09BF04A}"/>
    <cellStyle name="20% - Accent1 2 3 2 4" xfId="1590" xr:uid="{4B42F4E0-2D3D-485B-B7FF-F351D30680FE}"/>
    <cellStyle name="20% - Accent1 2 3 2 4 2" xfId="3476" xr:uid="{4790E7C3-1388-4CC1-951E-309BA53F7074}"/>
    <cellStyle name="20% - Accent1 2 3 2 5" xfId="3471" xr:uid="{07C3DC07-37FE-4883-BCFE-8E7CA92E0D90}"/>
    <cellStyle name="20% - Accent1 2 3 3" xfId="1591" xr:uid="{C98C43F0-05D3-40CC-BDDA-031ABD763A2B}"/>
    <cellStyle name="20% - Accent1 2 3 3 2" xfId="1592" xr:uid="{79FA9F18-2520-455F-AE32-81D60C2DB695}"/>
    <cellStyle name="20% - Accent1 2 3 3 2 2" xfId="3478" xr:uid="{62BAFB53-C303-4ACD-895D-0AF7A461C9BE}"/>
    <cellStyle name="20% - Accent1 2 3 3 3" xfId="1593" xr:uid="{8A78EA6F-3597-44A0-A790-4F5B98F00CE7}"/>
    <cellStyle name="20% - Accent1 2 3 3 3 2" xfId="3479" xr:uid="{73A4753C-BD89-4AFC-9045-3C6CE1769F52}"/>
    <cellStyle name="20% - Accent1 2 3 3 4" xfId="3477" xr:uid="{F808B248-56E7-4841-A71D-2A66F60D64AD}"/>
    <cellStyle name="20% - Accent1 2 3 4" xfId="1594" xr:uid="{2F9D2E10-444D-4553-9FAF-C91F1591114C}"/>
    <cellStyle name="20% - Accent1 2 3 4 2" xfId="3480" xr:uid="{34992794-605E-440C-8108-4AD000FFA1A0}"/>
    <cellStyle name="20% - Accent1 2 3 5" xfId="1595" xr:uid="{D01A08F7-70AC-4F43-9153-255BBE9998B0}"/>
    <cellStyle name="20% - Accent1 2 3 5 2" xfId="3481" xr:uid="{D3365284-FA83-4908-BF2F-B0BE6CD3BEAB}"/>
    <cellStyle name="20% - Accent1 2 3 6" xfId="1584" xr:uid="{3FCCB101-A57C-48EE-96E6-840C7BF6F514}"/>
    <cellStyle name="20% - Accent1 2 4" xfId="1596" xr:uid="{F0047D5A-D6FA-4B80-AD38-CAB560C92E08}"/>
    <cellStyle name="20% - Accent1 2 4 2" xfId="1597" xr:uid="{0536BBA9-9A60-4DC0-A1AD-4225E12DBABF}"/>
    <cellStyle name="20% - Accent1 2 4 2 2" xfId="1598" xr:uid="{E1AB101D-2A51-415C-8FA8-9D84B91AC237}"/>
    <cellStyle name="20% - Accent1 2 4 2 2 2" xfId="3483" xr:uid="{E9FE4D90-53CF-4910-AD2C-9990586AB7FB}"/>
    <cellStyle name="20% - Accent1 2 4 2 3" xfId="1599" xr:uid="{B38E8F7D-2F19-4150-BBC6-DE1CC31FC743}"/>
    <cellStyle name="20% - Accent1 2 4 2 3 2" xfId="3484" xr:uid="{5CB36BC8-9DE3-4F3C-B379-304A4B79691E}"/>
    <cellStyle name="20% - Accent1 2 4 2 4" xfId="3482" xr:uid="{BC510B2D-6D0C-4BBB-9E92-8F2636F4F329}"/>
    <cellStyle name="20% - Accent1 2 4 3" xfId="1600" xr:uid="{E982EA8A-F346-49D2-85DD-9D80C0026D80}"/>
    <cellStyle name="20% - Accent1 2 4 3 2" xfId="1601" xr:uid="{C679C5ED-E2B4-4D39-8B81-54D77212B161}"/>
    <cellStyle name="20% - Accent1 2 4 3 2 2" xfId="3486" xr:uid="{4ECD7B7C-405C-4987-9518-35327D2F4142}"/>
    <cellStyle name="20% - Accent1 2 4 3 3" xfId="1602" xr:uid="{5EEAB7D9-4011-4F64-A0AF-1D4B9182AD92}"/>
    <cellStyle name="20% - Accent1 2 4 3 3 2" xfId="3487" xr:uid="{A5299C58-A769-440D-96ED-A68530A8837B}"/>
    <cellStyle name="20% - Accent1 2 4 3 4" xfId="3485" xr:uid="{1130DB45-4DDA-46A2-83A5-1534E261356B}"/>
    <cellStyle name="20% - Accent1 2 4 4" xfId="1603" xr:uid="{3910F6B3-0A1A-4F23-AA5B-A80BE337FD2C}"/>
    <cellStyle name="20% - Accent1 2 4 4 2" xfId="3488" xr:uid="{E1A3AB27-41D9-4C02-860C-F3D89A979D3F}"/>
    <cellStyle name="20% - Accent1 2 4 5" xfId="1604" xr:uid="{3534CEDA-008F-4AFB-956B-298266490B58}"/>
    <cellStyle name="20% - Accent1 2 4 5 2" xfId="3489" xr:uid="{FFE2DDB9-4E91-48A4-874B-CC18C20ABFB7}"/>
    <cellStyle name="20% - Accent1 2 5" xfId="1605" xr:uid="{C881BAD1-4406-43DB-84F5-E451EB445C57}"/>
    <cellStyle name="20% - Accent1 2 5 2" xfId="1606" xr:uid="{526E4309-4048-4F60-8A26-7948F3225EC8}"/>
    <cellStyle name="20% - Accent1 2 5 2 2" xfId="1607" xr:uid="{C0FBAD79-BEBC-4C44-945E-9CB567FCB0F2}"/>
    <cellStyle name="20% - Accent1 2 5 2 2 2" xfId="3491" xr:uid="{F28B4B14-D1EF-4F35-8E7D-4F733388AFE2}"/>
    <cellStyle name="20% - Accent1 2 5 2 3" xfId="1608" xr:uid="{062D3BA1-F72B-4F07-AB41-DBB0650F561F}"/>
    <cellStyle name="20% - Accent1 2 5 2 3 2" xfId="3492" xr:uid="{B98B9C7A-C8BF-4575-A672-7DCD581DA7E4}"/>
    <cellStyle name="20% - Accent1 2 5 2 4" xfId="3490" xr:uid="{1D954730-AF8D-4A0D-A14B-A234C7DEF95B}"/>
    <cellStyle name="20% - Accent1 2 5 3" xfId="1609" xr:uid="{AD9C32B0-55CC-4EB3-8581-8AE49C841DA3}"/>
    <cellStyle name="20% - Accent1 2 5 3 2" xfId="3493" xr:uid="{E9432731-513C-4EE5-8F9A-CBB940153FE3}"/>
    <cellStyle name="20% - Accent1 2 5 4" xfId="1610" xr:uid="{86E31C07-B2F6-4932-9483-D8CAF7CB9E28}"/>
    <cellStyle name="20% - Accent1 2 5 4 2" xfId="3494" xr:uid="{BD500740-7FA5-4D4D-96A9-C0407F61C2BA}"/>
    <cellStyle name="20% - Accent1 2 6" xfId="1611" xr:uid="{9C5B8F1C-4024-4E1D-A01E-80EA7E7DFF11}"/>
    <cellStyle name="20% - Accent1 2 6 2" xfId="1612" xr:uid="{209A72B3-B562-405B-A2FC-E6B2415CB7B0}"/>
    <cellStyle name="20% - Accent1 2 6 2 2" xfId="3495" xr:uid="{FAF157C3-E145-4EB2-B111-D8218ECFC5DC}"/>
    <cellStyle name="20% - Accent1 2 6 3" xfId="1613" xr:uid="{BD06E622-3949-4D28-99A8-7BADE331C2E8}"/>
    <cellStyle name="20% - Accent1 2 6 3 2" xfId="3496" xr:uid="{325FAA5F-4C1B-4E8A-91B7-08DF7E082576}"/>
    <cellStyle name="20% - Accent1 2 7" xfId="1614" xr:uid="{F0605EFF-CA12-4CB6-A66B-015F7DD30A74}"/>
    <cellStyle name="20% - Accent1 2 7 2" xfId="3497" xr:uid="{F995F9B6-4136-4B56-B747-E07E8D6BE170}"/>
    <cellStyle name="20% - Accent1 2 8" xfId="1615" xr:uid="{7C410E33-FF10-45DD-AB04-90FD226817D4}"/>
    <cellStyle name="20% - Accent1 2 8 2" xfId="3498" xr:uid="{3C2720E3-E308-4E98-9B33-783C9E105047}"/>
    <cellStyle name="20% - Accent1 2 9" xfId="1616" xr:uid="{DE2A6DA9-40E5-4F1B-9C2A-A0143182AD25}"/>
    <cellStyle name="20% - Accent1 3" xfId="111" xr:uid="{BBBC7D0B-BD48-4D03-AA8A-2C01413CC7B2}"/>
    <cellStyle name="20% - Accent1 3 2" xfId="1618" xr:uid="{651CB397-079C-4E69-8A15-90D6E56FA925}"/>
    <cellStyle name="20% - Accent1 3 3" xfId="1619" xr:uid="{BB96AA6B-9CCE-45CF-A743-8A97866B84F8}"/>
    <cellStyle name="20% - Accent1 3 4" xfId="1617" xr:uid="{0F8B8448-DC56-4C9F-A49D-2F01AE62306E}"/>
    <cellStyle name="20% - Accent1 4" xfId="112" xr:uid="{967EE2E3-4945-4801-8E05-BC4B5DE50086}"/>
    <cellStyle name="20% - Accent1 4 2" xfId="1621" xr:uid="{7BED6B01-481A-4220-822C-89A37898108C}"/>
    <cellStyle name="20% - Accent1 4 3" xfId="1620" xr:uid="{EFAA87F3-69DE-4D1D-823F-997E19C652FD}"/>
    <cellStyle name="20% - Accent1 5" xfId="113" xr:uid="{7E251424-5435-4D56-B08E-62A05FE87F7E}"/>
    <cellStyle name="20% - Accent1 5 2" xfId="1622" xr:uid="{60E25958-6DCF-49A8-BDA7-D7AB779361E6}"/>
    <cellStyle name="20% - Accent1 6" xfId="114" xr:uid="{376DAE87-F0AA-4C7C-9983-5B8780A7A441}"/>
    <cellStyle name="20% - Accent1 6 2" xfId="1623" xr:uid="{DB3AD73B-7A16-4E33-BD6A-BEAB16AFC5F3}"/>
    <cellStyle name="20% - Accent1 7" xfId="115" xr:uid="{443E02D2-0543-42C4-875F-F2E9B3167F6C}"/>
    <cellStyle name="20% - Accent1 7 2" xfId="1624" xr:uid="{A1018D0D-9C86-4569-91B0-BB6FFC444DA9}"/>
    <cellStyle name="20% - Accent1 8" xfId="116" xr:uid="{E2A56F3A-271E-4A07-8608-251A3D42C601}"/>
    <cellStyle name="20% - Accent1 8 2" xfId="1625" xr:uid="{5AE4378F-D1BD-4FF3-8677-8B08DE0B7A37}"/>
    <cellStyle name="20% - Accent1 9" xfId="117" xr:uid="{2CB79A3F-4E62-4EAE-9F90-44BF93F1D182}"/>
    <cellStyle name="20% - Accent1 9 2" xfId="1626" xr:uid="{139CC221-7B8D-4C3A-BE0E-CD4B49E78B0E}"/>
    <cellStyle name="20% - Accent2 10" xfId="118" xr:uid="{6C190751-8BFA-4BAD-AFD5-DC099043E3FC}"/>
    <cellStyle name="20% - Accent2 10 2" xfId="1627" xr:uid="{F98D6139-E3A2-4919-953B-526F15D2DA14}"/>
    <cellStyle name="20% - Accent2 11" xfId="119" xr:uid="{A10CC3DB-1218-4CDC-9E9D-72567D40C1B9}"/>
    <cellStyle name="20% - Accent2 11 2" xfId="1628" xr:uid="{277BB9B0-95FC-40A0-9395-DC19FBE788AD}"/>
    <cellStyle name="20% - Accent2 12" xfId="120" xr:uid="{1EB12AEB-951A-4D60-87C9-8A7E59E24A01}"/>
    <cellStyle name="20% - Accent2 12 2" xfId="1629" xr:uid="{69175F6E-C0A5-4E5E-A624-828FE06B63E4}"/>
    <cellStyle name="20% - Accent2 13" xfId="121" xr:uid="{473F8E8B-6183-4F6C-B892-4BD1091F10E0}"/>
    <cellStyle name="20% - Accent2 13 2" xfId="1630" xr:uid="{A655A893-D355-4395-84B1-F352E866A304}"/>
    <cellStyle name="20% - Accent2 14" xfId="122" xr:uid="{13696E75-2D2C-4621-955F-23F7900D4AAA}"/>
    <cellStyle name="20% - Accent2 14 2" xfId="1631" xr:uid="{788F19DF-32D8-48AA-B55C-C9DA8E1537CD}"/>
    <cellStyle name="20% - Accent2 15" xfId="123" xr:uid="{F0E2D41A-B837-46EC-BBEA-2CAE487D301E}"/>
    <cellStyle name="20% - Accent2 15 2" xfId="1632" xr:uid="{C5F89A45-DEA0-4BEC-B9E3-06CA6BAC4DB3}"/>
    <cellStyle name="20% - Accent2 16" xfId="770" xr:uid="{D6013404-A408-4AAB-80F1-09258BC9B437}"/>
    <cellStyle name="20% - Accent2 16 2" xfId="3499" xr:uid="{0083D55E-D262-4508-B027-803A0D477C50}"/>
    <cellStyle name="20% - Accent2 16 3" xfId="1633" xr:uid="{C5310CBD-5F73-4A2E-989E-E34ECECAE2E2}"/>
    <cellStyle name="20% - Accent2 2" xfId="24" xr:uid="{00000000-0005-0000-0000-00000A000000}"/>
    <cellStyle name="20% - Accent2 2 10" xfId="1635" xr:uid="{018191F1-B44D-4E7D-B0C7-0D77909E7936}"/>
    <cellStyle name="20% - Accent2 2 10 2" xfId="3500" xr:uid="{B7A63478-1A08-468D-BC60-362E349E2916}"/>
    <cellStyle name="20% - Accent2 2 11" xfId="1634" xr:uid="{6E312378-E9AA-4A20-9B67-5E6E9518C87C}"/>
    <cellStyle name="20% - Accent2 2 2" xfId="819" xr:uid="{88E9716D-ED26-4B0C-B13D-E8B8E843EB65}"/>
    <cellStyle name="20% - Accent2 2 2 2" xfId="1637" xr:uid="{326A2147-49A9-4EFD-BC9D-4008580C120E}"/>
    <cellStyle name="20% - Accent2 2 2 3" xfId="1636" xr:uid="{F4A28F98-4C2B-41B9-AF17-5AFDC4CE5A58}"/>
    <cellStyle name="20% - Accent2 2 3" xfId="124" xr:uid="{9A2CCDBD-6CEB-439D-8ED1-7C033D7D4909}"/>
    <cellStyle name="20% - Accent2 2 3 2" xfId="1639" xr:uid="{1B91A986-D377-4B37-9ADC-3316B7DD44F6}"/>
    <cellStyle name="20% - Accent2 2 3 2 2" xfId="1640" xr:uid="{54BCF315-7BB7-4620-97CB-A2555A3968C5}"/>
    <cellStyle name="20% - Accent2 2 3 2 2 2" xfId="1641" xr:uid="{0A92EB4C-199F-4460-A535-04AE4B0700B2}"/>
    <cellStyle name="20% - Accent2 2 3 2 2 2 2" xfId="3503" xr:uid="{59E42F24-9D09-473F-B6C3-9DC82D2C819E}"/>
    <cellStyle name="20% - Accent2 2 3 2 2 3" xfId="1642" xr:uid="{C5CE9C36-744A-4130-AF9B-BDBE576B7761}"/>
    <cellStyle name="20% - Accent2 2 3 2 2 3 2" xfId="3504" xr:uid="{57C084F7-E5C4-4430-97B8-AC6B558082EE}"/>
    <cellStyle name="20% - Accent2 2 3 2 2 4" xfId="3502" xr:uid="{E6D1D44B-A7EA-43D0-B3F1-74B8E4855F27}"/>
    <cellStyle name="20% - Accent2 2 3 2 3" xfId="1643" xr:uid="{FECD1559-6341-4F45-B9D3-108C6355F478}"/>
    <cellStyle name="20% - Accent2 2 3 2 3 2" xfId="3505" xr:uid="{8EDA025E-CB43-4978-81CE-970F98E2982B}"/>
    <cellStyle name="20% - Accent2 2 3 2 4" xfId="1644" xr:uid="{76F7149B-984A-4549-9600-D0AB82EA2797}"/>
    <cellStyle name="20% - Accent2 2 3 2 4 2" xfId="3506" xr:uid="{B6DA816F-93D1-492C-93AC-164AC3BDB817}"/>
    <cellStyle name="20% - Accent2 2 3 2 5" xfId="3501" xr:uid="{516BD600-D3F2-4C59-BB16-1ADC3C174A8C}"/>
    <cellStyle name="20% - Accent2 2 3 3" xfId="1645" xr:uid="{16DE2237-4E95-4A3A-B195-F2918011E67E}"/>
    <cellStyle name="20% - Accent2 2 3 3 2" xfId="1646" xr:uid="{E932F04F-3993-4BCC-814A-8CAA26E54A1B}"/>
    <cellStyle name="20% - Accent2 2 3 3 2 2" xfId="3508" xr:uid="{41EE042C-A49B-4FD4-98D3-35F7FDCE93CA}"/>
    <cellStyle name="20% - Accent2 2 3 3 3" xfId="1647" xr:uid="{D4468AC5-E7E5-496A-90BF-5E9D5E3C89C4}"/>
    <cellStyle name="20% - Accent2 2 3 3 3 2" xfId="3509" xr:uid="{BC8A5D6A-7434-45E6-9671-5D552F287642}"/>
    <cellStyle name="20% - Accent2 2 3 3 4" xfId="3507" xr:uid="{55B6B2AA-B147-42C4-9796-7FDEF1107916}"/>
    <cellStyle name="20% - Accent2 2 3 4" xfId="1648" xr:uid="{23A3A032-8650-4FDC-81C4-C2681C5A397C}"/>
    <cellStyle name="20% - Accent2 2 3 4 2" xfId="3510" xr:uid="{82228431-F2A4-4617-B860-DF3C6D16AD7D}"/>
    <cellStyle name="20% - Accent2 2 3 5" xfId="1649" xr:uid="{5A012894-767F-4EC5-AD4E-B18C87862737}"/>
    <cellStyle name="20% - Accent2 2 3 5 2" xfId="3511" xr:uid="{8F474EEB-E493-47EE-8416-CE1DDD25849C}"/>
    <cellStyle name="20% - Accent2 2 3 6" xfId="1638" xr:uid="{9024F288-A07D-4489-A269-B22105CE3C6E}"/>
    <cellStyle name="20% - Accent2 2 4" xfId="1650" xr:uid="{8D03F837-15BD-4FAC-97D1-22E881B1DA96}"/>
    <cellStyle name="20% - Accent2 2 4 2" xfId="1651" xr:uid="{08E5896D-8919-4D1F-BC05-974985EA3F8D}"/>
    <cellStyle name="20% - Accent2 2 4 2 2" xfId="1652" xr:uid="{280423C1-6460-4E5B-AC36-52D1552F6343}"/>
    <cellStyle name="20% - Accent2 2 4 2 2 2" xfId="3513" xr:uid="{EC1527AE-B19A-4A54-AE2F-BEB56DA599CB}"/>
    <cellStyle name="20% - Accent2 2 4 2 3" xfId="1653" xr:uid="{B1C0231E-6D68-4911-B8BA-694EE683017B}"/>
    <cellStyle name="20% - Accent2 2 4 2 3 2" xfId="3514" xr:uid="{E11BEB28-0360-4D60-A817-C6DB204094F8}"/>
    <cellStyle name="20% - Accent2 2 4 2 4" xfId="3512" xr:uid="{BDECF81F-7F09-4E83-A370-0569F0E0764B}"/>
    <cellStyle name="20% - Accent2 2 4 3" xfId="1654" xr:uid="{45F5517C-2C7E-4D86-B677-ED09B8A4D32E}"/>
    <cellStyle name="20% - Accent2 2 4 3 2" xfId="1655" xr:uid="{AACCA577-A6FD-4424-9A45-5B3CDBC68997}"/>
    <cellStyle name="20% - Accent2 2 4 3 2 2" xfId="3516" xr:uid="{EDCD70B3-8B4C-4FD6-9ED5-9A48F0AC4064}"/>
    <cellStyle name="20% - Accent2 2 4 3 3" xfId="1656" xr:uid="{481364D6-F235-4B0D-90E9-7D947CDA697E}"/>
    <cellStyle name="20% - Accent2 2 4 3 3 2" xfId="3517" xr:uid="{65573C29-4E8E-46F9-8160-50F50930E1EF}"/>
    <cellStyle name="20% - Accent2 2 4 3 4" xfId="3515" xr:uid="{37B9C613-9F14-4D72-9FA2-6A1C2C45C178}"/>
    <cellStyle name="20% - Accent2 2 4 4" xfId="1657" xr:uid="{B1B6CB8C-80E6-479A-8946-CA02C0583761}"/>
    <cellStyle name="20% - Accent2 2 4 4 2" xfId="3518" xr:uid="{1171E8F6-7E7F-4F2A-9B04-93D2AD3EF97F}"/>
    <cellStyle name="20% - Accent2 2 4 5" xfId="1658" xr:uid="{4C74FB3F-9B98-459F-8C3C-F7DFECA00FA2}"/>
    <cellStyle name="20% - Accent2 2 4 5 2" xfId="3519" xr:uid="{1E1C8BB5-304B-4A45-A0CD-CCE27B686CF2}"/>
    <cellStyle name="20% - Accent2 2 5" xfId="1659" xr:uid="{B765C95D-F292-473E-AEE3-489DF942F1C8}"/>
    <cellStyle name="20% - Accent2 2 5 2" xfId="1660" xr:uid="{43DFDFD0-01BA-4410-A3CA-5F2B601B1870}"/>
    <cellStyle name="20% - Accent2 2 5 2 2" xfId="1661" xr:uid="{EAA006CC-F814-4975-9393-B0CCBA5C8263}"/>
    <cellStyle name="20% - Accent2 2 5 2 2 2" xfId="3521" xr:uid="{679DDE5C-DF8B-487C-8224-4F831F764D06}"/>
    <cellStyle name="20% - Accent2 2 5 2 3" xfId="1662" xr:uid="{0D8D81B3-BD64-462C-A461-486E6E6F7A11}"/>
    <cellStyle name="20% - Accent2 2 5 2 3 2" xfId="3522" xr:uid="{CE7975E0-5522-4F33-8411-053D2CAAF57E}"/>
    <cellStyle name="20% - Accent2 2 5 2 4" xfId="3520" xr:uid="{51F92030-8772-49E4-BC5F-0372CCE7526A}"/>
    <cellStyle name="20% - Accent2 2 5 3" xfId="1663" xr:uid="{DD7B5048-8544-422E-99B0-9C6262CC9A06}"/>
    <cellStyle name="20% - Accent2 2 5 3 2" xfId="3523" xr:uid="{77D92E2C-7BE4-44BD-AAA6-085AD5CB2C24}"/>
    <cellStyle name="20% - Accent2 2 5 4" xfId="1664" xr:uid="{35979B49-2587-4686-8697-5B0A7360A8D5}"/>
    <cellStyle name="20% - Accent2 2 5 4 2" xfId="3524" xr:uid="{1B373F42-EDED-4840-A220-96498F713EF2}"/>
    <cellStyle name="20% - Accent2 2 6" xfId="1665" xr:uid="{1B828E3A-9BD1-4008-97C1-B0CD5B835A40}"/>
    <cellStyle name="20% - Accent2 2 6 2" xfId="1666" xr:uid="{AC7B14F3-266E-48F7-900D-847C6B505AF3}"/>
    <cellStyle name="20% - Accent2 2 6 2 2" xfId="3525" xr:uid="{24596568-97EE-45E8-B55D-1786F2D20886}"/>
    <cellStyle name="20% - Accent2 2 6 3" xfId="1667" xr:uid="{8EE6A0D8-68F0-4589-A991-37D803E4B9FA}"/>
    <cellStyle name="20% - Accent2 2 6 3 2" xfId="3526" xr:uid="{87683655-7AA7-4706-97D5-B828A415C948}"/>
    <cellStyle name="20% - Accent2 2 7" xfId="1668" xr:uid="{3B79F7A2-66EC-4C36-BDAE-240A69BAC9AA}"/>
    <cellStyle name="20% - Accent2 2 7 2" xfId="3527" xr:uid="{4FD18627-0533-49FB-911C-9C7E9E16EE74}"/>
    <cellStyle name="20% - Accent2 2 8" xfId="1669" xr:uid="{F959C8D6-C0C7-443B-AE2F-80985F0F7719}"/>
    <cellStyle name="20% - Accent2 2 8 2" xfId="3528" xr:uid="{004FC7F8-91DB-4210-BAF5-043B72900E1F}"/>
    <cellStyle name="20% - Accent2 2 9" xfId="1670" xr:uid="{FD4A0A44-0609-4556-BF49-324ECE2F5FCE}"/>
    <cellStyle name="20% - Accent2 3" xfId="125" xr:uid="{55000463-8A6F-4E5F-895F-1D6836E3F798}"/>
    <cellStyle name="20% - Accent2 3 2" xfId="1672" xr:uid="{488451AF-13BC-47B1-9ED7-99BDB1696020}"/>
    <cellStyle name="20% - Accent2 3 3" xfId="1673" xr:uid="{023C04CB-A46C-4325-96DE-1B9A40C6489F}"/>
    <cellStyle name="20% - Accent2 3 4" xfId="1671" xr:uid="{35F7BB10-D0FF-4F97-A05D-9D30714D2B70}"/>
    <cellStyle name="20% - Accent2 4" xfId="126" xr:uid="{AF859086-CC51-40A1-9C3C-6366AA79F1FF}"/>
    <cellStyle name="20% - Accent2 4 2" xfId="1675" xr:uid="{2243EB06-06CB-4E10-B1E4-85DEB459254B}"/>
    <cellStyle name="20% - Accent2 4 3" xfId="1674" xr:uid="{E30C4478-CEF1-4CA5-A38B-55A9C9C0807F}"/>
    <cellStyle name="20% - Accent2 5" xfId="127" xr:uid="{832429B3-E619-4DDA-B4A3-64363250CB45}"/>
    <cellStyle name="20% - Accent2 5 2" xfId="1676" xr:uid="{28AA3499-6E6C-4DF2-9DF0-5B67A44897FE}"/>
    <cellStyle name="20% - Accent2 6" xfId="128" xr:uid="{B89B8E96-1DD4-4C95-A573-00A44AE3E0E0}"/>
    <cellStyle name="20% - Accent2 6 2" xfId="1677" xr:uid="{88D096AA-AEDA-4E61-91BA-61D065F80CE4}"/>
    <cellStyle name="20% - Accent2 7" xfId="129" xr:uid="{7EE69995-BB3B-41D4-8136-EBAEC511BB7C}"/>
    <cellStyle name="20% - Accent2 7 2" xfId="1678" xr:uid="{4F12F673-57BE-42FF-9B59-5DC3317E7EE7}"/>
    <cellStyle name="20% - Accent2 8" xfId="130" xr:uid="{2725C661-C278-4344-B0A1-619B40DB1CEF}"/>
    <cellStyle name="20% - Accent2 8 2" xfId="1679" xr:uid="{0498E39B-2113-4ED8-BD1A-F91C386D5F98}"/>
    <cellStyle name="20% - Accent2 9" xfId="131" xr:uid="{48AAB1AD-A964-4460-92AD-A040CBF8F10D}"/>
    <cellStyle name="20% - Accent2 9 2" xfId="1680" xr:uid="{BB713DBC-D432-4F95-A7C1-FA073AEDC9DE}"/>
    <cellStyle name="20% - Accent3 10" xfId="132" xr:uid="{7ACE94B7-11FE-4305-941E-C0B5D6C40E5D}"/>
    <cellStyle name="20% - Accent3 10 2" xfId="1681" xr:uid="{D0C76420-31B1-461A-A0B4-E3D2DACE5C80}"/>
    <cellStyle name="20% - Accent3 11" xfId="133" xr:uid="{238C467B-9463-4905-866D-FE45FF0EE60B}"/>
    <cellStyle name="20% - Accent3 11 2" xfId="1682" xr:uid="{594C3054-3DEC-49D8-A059-50537647ACE7}"/>
    <cellStyle name="20% - Accent3 12" xfId="134" xr:uid="{442C9A86-B726-436B-A8EE-CBE9AFDBF4D7}"/>
    <cellStyle name="20% - Accent3 12 2" xfId="1683" xr:uid="{CBC80F4B-DFCE-4410-AA48-C4AF2D4DEE92}"/>
    <cellStyle name="20% - Accent3 13" xfId="135" xr:uid="{2CD00547-C846-4ECE-B078-3A0B79C7A7F7}"/>
    <cellStyle name="20% - Accent3 13 2" xfId="1684" xr:uid="{86EAFC9B-2590-4D54-B04A-2837B8133826}"/>
    <cellStyle name="20% - Accent3 14" xfId="136" xr:uid="{223898B6-3510-4569-AEE2-C0DBD9EC9E21}"/>
    <cellStyle name="20% - Accent3 14 2" xfId="1685" xr:uid="{348645AA-5794-49B7-832D-CFC3AB8A293B}"/>
    <cellStyle name="20% - Accent3 15" xfId="137" xr:uid="{ECFD3754-2839-443F-93D6-2988AB81F926}"/>
    <cellStyle name="20% - Accent3 15 2" xfId="1686" xr:uid="{8119AE2B-79F3-4133-9903-69A4DBF1DA9E}"/>
    <cellStyle name="20% - Accent3 16" xfId="771" xr:uid="{12D4EFAA-CEF6-43E3-AECD-3B0EF030DC19}"/>
    <cellStyle name="20% - Accent3 16 2" xfId="3529" xr:uid="{68022E14-461C-4F52-92EF-6785E73BA26D}"/>
    <cellStyle name="20% - Accent3 16 3" xfId="1687" xr:uid="{273E9753-C62E-400E-9C02-433FAE6CA56F}"/>
    <cellStyle name="20% - Accent3 2" xfId="25" xr:uid="{00000000-0005-0000-0000-00000B000000}"/>
    <cellStyle name="20% - Accent3 2 10" xfId="1689" xr:uid="{7B7202AD-78B0-4001-A64E-057FAC03658E}"/>
    <cellStyle name="20% - Accent3 2 10 2" xfId="3530" xr:uid="{7B3B5E4D-020D-41A5-A820-B8A9B6CFD799}"/>
    <cellStyle name="20% - Accent3 2 11" xfId="1690" xr:uid="{1C32B86F-6D64-4764-A6CB-DF1AD99E0AE6}"/>
    <cellStyle name="20% - Accent3 2 12" xfId="1688" xr:uid="{06EF9732-C3D4-4DCD-94D6-35035A4EBAA7}"/>
    <cellStyle name="20% - Accent3 2 2" xfId="823" xr:uid="{BC8980A8-10CB-4C9B-80DC-B668AC15844F}"/>
    <cellStyle name="20% - Accent3 2 2 2" xfId="1692" xr:uid="{CF8DE8A9-2591-4DDF-8C92-2BF6F51B7F79}"/>
    <cellStyle name="20% - Accent3 2 2 3" xfId="1691" xr:uid="{BBB2F8C0-D295-4F22-8B63-71FFD9DCB700}"/>
    <cellStyle name="20% - Accent3 2 3" xfId="138" xr:uid="{0A9F25B4-70CA-4082-AB6C-473346FA893F}"/>
    <cellStyle name="20% - Accent3 2 3 2" xfId="1694" xr:uid="{4F1D0776-27BC-4D11-A132-2AF038A4849F}"/>
    <cellStyle name="20% - Accent3 2 3 2 2" xfId="1695" xr:uid="{1E2D75E0-E738-41F8-B477-7FE21C29687A}"/>
    <cellStyle name="20% - Accent3 2 3 2 2 2" xfId="1696" xr:uid="{F66B6ABA-B216-4F82-B912-F73FCEA53CDE}"/>
    <cellStyle name="20% - Accent3 2 3 2 2 2 2" xfId="3533" xr:uid="{890615C6-BD27-449C-8112-312FB3532786}"/>
    <cellStyle name="20% - Accent3 2 3 2 2 3" xfId="1697" xr:uid="{668D7B41-CC2E-4593-A3AE-762B07B7A592}"/>
    <cellStyle name="20% - Accent3 2 3 2 2 3 2" xfId="3534" xr:uid="{F491CBE3-59F4-4825-84E2-A6B59C260195}"/>
    <cellStyle name="20% - Accent3 2 3 2 2 4" xfId="3532" xr:uid="{699BD587-C7DF-4B69-9F2D-75C941C72B79}"/>
    <cellStyle name="20% - Accent3 2 3 2 3" xfId="1698" xr:uid="{2F5CA694-25BF-4463-BDA2-B2C3D2527812}"/>
    <cellStyle name="20% - Accent3 2 3 2 3 2" xfId="3535" xr:uid="{58690748-910D-4875-8351-8D1B018612A3}"/>
    <cellStyle name="20% - Accent3 2 3 2 4" xfId="1699" xr:uid="{88786BC9-FF9B-4D95-AFBC-E071E46BAB63}"/>
    <cellStyle name="20% - Accent3 2 3 2 4 2" xfId="3536" xr:uid="{B05FA707-C89F-4CA1-B3B4-643FD025EBFB}"/>
    <cellStyle name="20% - Accent3 2 3 2 5" xfId="3531" xr:uid="{4A86380C-930F-4EBA-90FD-27B29E6127D0}"/>
    <cellStyle name="20% - Accent3 2 3 3" xfId="1700" xr:uid="{40D6EA77-04F1-43E9-BB09-49D6CC858B3B}"/>
    <cellStyle name="20% - Accent3 2 3 3 2" xfId="1701" xr:uid="{FABB9EEC-65CE-4810-B7B8-C011D1D33AE3}"/>
    <cellStyle name="20% - Accent3 2 3 3 2 2" xfId="3538" xr:uid="{27F8F79B-C311-4B29-A201-495308183164}"/>
    <cellStyle name="20% - Accent3 2 3 3 3" xfId="1702" xr:uid="{C84C2FEC-D092-458A-BEA2-D3372B2058AB}"/>
    <cellStyle name="20% - Accent3 2 3 3 3 2" xfId="3539" xr:uid="{04088CF5-D91F-42BE-A721-55DD1EB69C4A}"/>
    <cellStyle name="20% - Accent3 2 3 3 4" xfId="3537" xr:uid="{2D3D7367-4300-408E-A05D-4E6F6B3744D4}"/>
    <cellStyle name="20% - Accent3 2 3 4" xfId="1703" xr:uid="{BB0DD3FC-FC3A-4B92-822F-057FCCD53478}"/>
    <cellStyle name="20% - Accent3 2 3 4 2" xfId="3540" xr:uid="{30B6CAD9-1A40-4A2F-B025-5330A193702C}"/>
    <cellStyle name="20% - Accent3 2 3 5" xfId="1704" xr:uid="{85C0EC2A-9624-420D-9313-90C9D87E5801}"/>
    <cellStyle name="20% - Accent3 2 3 5 2" xfId="3541" xr:uid="{75A00C58-2FE3-4279-8B67-4C63059F66DC}"/>
    <cellStyle name="20% - Accent3 2 3 6" xfId="1693" xr:uid="{81F6E966-E867-4261-8BFB-A5F74E2A5206}"/>
    <cellStyle name="20% - Accent3 2 4" xfId="1705" xr:uid="{CA3C68E7-776F-42D9-AF5D-60553694F42A}"/>
    <cellStyle name="20% - Accent3 2 4 2" xfId="1706" xr:uid="{2BBD4AF1-0B8D-4A58-B3A2-5FF4BCAE0781}"/>
    <cellStyle name="20% - Accent3 2 4 2 2" xfId="1707" xr:uid="{F2B82E81-3F76-4B0A-A9C8-9E0909D41E0F}"/>
    <cellStyle name="20% - Accent3 2 4 2 2 2" xfId="3543" xr:uid="{4E236713-BD63-4228-AEF2-771F0C3C5CAD}"/>
    <cellStyle name="20% - Accent3 2 4 2 3" xfId="1708" xr:uid="{0EC57764-1E56-4318-AB63-BE66B281F084}"/>
    <cellStyle name="20% - Accent3 2 4 2 3 2" xfId="3544" xr:uid="{2760C2E9-07CC-4F53-90FA-68694D71E108}"/>
    <cellStyle name="20% - Accent3 2 4 2 4" xfId="3542" xr:uid="{51E44D80-9C5A-4ACF-8203-5CED3C0404FA}"/>
    <cellStyle name="20% - Accent3 2 4 3" xfId="1709" xr:uid="{A36EA30B-FB78-43E6-BDCC-8DEF67FD3586}"/>
    <cellStyle name="20% - Accent3 2 4 3 2" xfId="1710" xr:uid="{47305E96-9C72-4D60-A3C2-AFDFF811B920}"/>
    <cellStyle name="20% - Accent3 2 4 3 2 2" xfId="3546" xr:uid="{12011FCA-A2F8-4FED-BE89-B8129374B697}"/>
    <cellStyle name="20% - Accent3 2 4 3 3" xfId="1711" xr:uid="{087B50FF-34B9-4D90-B0D9-91147882E34B}"/>
    <cellStyle name="20% - Accent3 2 4 3 3 2" xfId="3547" xr:uid="{BBE3D067-03FE-4A96-8AE5-E575A83D2EF0}"/>
    <cellStyle name="20% - Accent3 2 4 3 4" xfId="3545" xr:uid="{F5B22487-A388-4850-BE5A-BA389E4D35E5}"/>
    <cellStyle name="20% - Accent3 2 4 4" xfId="1712" xr:uid="{CB81ABAE-F1C4-4F70-A348-72B5CACE04E1}"/>
    <cellStyle name="20% - Accent3 2 4 4 2" xfId="3548" xr:uid="{F6EDC96C-F8E6-4976-BCD8-5B542D6EF961}"/>
    <cellStyle name="20% - Accent3 2 4 5" xfId="1713" xr:uid="{A2A73118-1558-42A9-B1E4-28EAA7A83E48}"/>
    <cellStyle name="20% - Accent3 2 4 5 2" xfId="3549" xr:uid="{6A7E8D1E-C38D-4E8D-B99E-996E310DDD03}"/>
    <cellStyle name="20% - Accent3 2 5" xfId="1714" xr:uid="{CAEA8500-D315-4889-9354-5605FCE0C555}"/>
    <cellStyle name="20% - Accent3 2 5 2" xfId="1715" xr:uid="{48FEEEDF-676E-48BA-8DA1-DEF49A8B4540}"/>
    <cellStyle name="20% - Accent3 2 5 2 2" xfId="1716" xr:uid="{2F8C42E2-81F3-4C92-BC9E-E2114FE00A61}"/>
    <cellStyle name="20% - Accent3 2 5 2 2 2" xfId="3551" xr:uid="{4140FF0E-32A6-488D-941D-2B49BCBB2733}"/>
    <cellStyle name="20% - Accent3 2 5 2 3" xfId="1717" xr:uid="{F6CA4DCE-90EA-4649-A99D-428AF930AC5A}"/>
    <cellStyle name="20% - Accent3 2 5 2 3 2" xfId="3552" xr:uid="{63652EEB-23B1-461C-BD4F-C8B7BF1A9D49}"/>
    <cellStyle name="20% - Accent3 2 5 2 4" xfId="3550" xr:uid="{61B3B21D-CABB-4DD5-92A9-FF9115BAD488}"/>
    <cellStyle name="20% - Accent3 2 5 3" xfId="1718" xr:uid="{836ABFE8-14A6-4A46-A1BB-F36301A4CF0E}"/>
    <cellStyle name="20% - Accent3 2 5 3 2" xfId="3553" xr:uid="{8E0E6294-CF0E-48F5-9A1E-9D63C62E42BB}"/>
    <cellStyle name="20% - Accent3 2 5 4" xfId="1719" xr:uid="{EA7C75F5-77D9-425C-BF54-5DF18233D2C2}"/>
    <cellStyle name="20% - Accent3 2 5 4 2" xfId="3554" xr:uid="{5766F592-F9DD-4F8C-BCCB-BE292B60EB17}"/>
    <cellStyle name="20% - Accent3 2 6" xfId="1720" xr:uid="{9E016CEC-07CB-4638-9C93-D1BBCA8C7B25}"/>
    <cellStyle name="20% - Accent3 2 6 2" xfId="1721" xr:uid="{B350F275-FBA3-40E7-A64A-B455D168F20E}"/>
    <cellStyle name="20% - Accent3 2 6 2 2" xfId="3555" xr:uid="{7D57F336-24F3-4450-82DA-510D1DFECD4B}"/>
    <cellStyle name="20% - Accent3 2 6 3" xfId="1722" xr:uid="{45C7C6CA-772A-4AA1-B2CF-37559BD38C3E}"/>
    <cellStyle name="20% - Accent3 2 6 3 2" xfId="3556" xr:uid="{5BFAD7B0-1069-4352-8425-37DD73C8698A}"/>
    <cellStyle name="20% - Accent3 2 7" xfId="1723" xr:uid="{303CF0A1-D67C-48E5-A007-37294F22C460}"/>
    <cellStyle name="20% - Accent3 2 7 2" xfId="3557" xr:uid="{0E0C65FD-99B5-4635-A393-C0ABC9B1D7A1}"/>
    <cellStyle name="20% - Accent3 2 8" xfId="1724" xr:uid="{7FD7CA61-94B2-493B-99D4-22F31FC1BC90}"/>
    <cellStyle name="20% - Accent3 2 8 2" xfId="3558" xr:uid="{40275532-4C5B-44BC-BE52-DA91FA84D528}"/>
    <cellStyle name="20% - Accent3 2 9" xfId="1725" xr:uid="{955093DE-0B93-401B-9676-B8AFA123BC5B}"/>
    <cellStyle name="20% - Accent3 3" xfId="139" xr:uid="{FC3BB4A7-30D5-4C60-A940-C9F97270670D}"/>
    <cellStyle name="20% - Accent3 3 2" xfId="1727" xr:uid="{392CE5B5-F655-4E24-8BD2-768F3F2EA0D4}"/>
    <cellStyle name="20% - Accent3 3 3" xfId="1728" xr:uid="{844C20DA-98A0-4631-B3AC-BB625A5F48D6}"/>
    <cellStyle name="20% - Accent3 3 4" xfId="1726" xr:uid="{38E70B0F-4CCD-473F-A0A3-8F29F1821743}"/>
    <cellStyle name="20% - Accent3 4" xfId="140" xr:uid="{9BFF5A1D-111E-40A5-846A-74F9CC4C6F78}"/>
    <cellStyle name="20% - Accent3 4 2" xfId="1730" xr:uid="{47D05C5E-F7D2-4C5F-B077-0BCEC24A47D6}"/>
    <cellStyle name="20% - Accent3 4 3" xfId="1729" xr:uid="{8F49E467-9E03-4321-817E-959F962EC003}"/>
    <cellStyle name="20% - Accent3 5" xfId="141" xr:uid="{6ED29ED2-D5FA-4F82-8DDE-AC56B37D1B7B}"/>
    <cellStyle name="20% - Accent3 5 2" xfId="1731" xr:uid="{6D9F7BA5-6F14-40F8-82C1-55545F266504}"/>
    <cellStyle name="20% - Accent3 6" xfId="142" xr:uid="{2EE88B77-B4ED-4224-8F5A-1F5F717E398A}"/>
    <cellStyle name="20% - Accent3 6 2" xfId="1732" xr:uid="{B6E19204-33EE-40BE-9A49-4996FC379871}"/>
    <cellStyle name="20% - Accent3 7" xfId="143" xr:uid="{7FE3F72A-B20C-4FA5-8174-BF46E31A47FA}"/>
    <cellStyle name="20% - Accent3 7 2" xfId="1733" xr:uid="{CEF3873A-656D-4670-BC21-B32AA77748AC}"/>
    <cellStyle name="20% - Accent3 8" xfId="144" xr:uid="{26BDBDB6-96C4-4DE8-8498-1D3EDB6B5361}"/>
    <cellStyle name="20% - Accent3 8 2" xfId="1734" xr:uid="{B49B0CF3-CC70-48BC-A4EB-587E601252FE}"/>
    <cellStyle name="20% - Accent3 9" xfId="145" xr:uid="{58ACF6E2-883C-4F05-A549-358FF04DE678}"/>
    <cellStyle name="20% - Accent3 9 2" xfId="1735" xr:uid="{D12B27CB-07F2-4815-9AD6-B7E322094C87}"/>
    <cellStyle name="20% - Accent4 10" xfId="146" xr:uid="{91A615A8-05D8-4E89-9B9D-40BB1EBF12DF}"/>
    <cellStyle name="20% - Accent4 10 2" xfId="1736" xr:uid="{BA8294D2-FA09-4412-A07A-933863EC7B44}"/>
    <cellStyle name="20% - Accent4 11" xfId="147" xr:uid="{4BF0B27D-D287-4453-B607-E298CBF863AC}"/>
    <cellStyle name="20% - Accent4 11 2" xfId="1737" xr:uid="{63B72A89-BCA6-44ED-AFEE-A0D5C86CC1C9}"/>
    <cellStyle name="20% - Accent4 12" xfId="148" xr:uid="{7B996A7E-4836-4E27-8B5A-D813B5202EE1}"/>
    <cellStyle name="20% - Accent4 12 2" xfId="1738" xr:uid="{98A00F11-8B3A-486B-93FE-4D593BC9D0CA}"/>
    <cellStyle name="20% - Accent4 13" xfId="149" xr:uid="{37B53B62-2DCD-4744-95D8-F12FA4004CB2}"/>
    <cellStyle name="20% - Accent4 13 2" xfId="1739" xr:uid="{CD7157A2-A41C-45A8-A270-0E238F09BA2D}"/>
    <cellStyle name="20% - Accent4 14" xfId="150" xr:uid="{E09126FA-9152-4B23-9983-B1F228217BF6}"/>
    <cellStyle name="20% - Accent4 14 2" xfId="1740" xr:uid="{4F6AB182-9230-4621-B194-63A170F2D3DD}"/>
    <cellStyle name="20% - Accent4 15" xfId="151" xr:uid="{2FAAE852-EEC6-4346-A0B9-174305E14DEC}"/>
    <cellStyle name="20% - Accent4 15 2" xfId="1741" xr:uid="{E966DF4B-758C-42A5-A2ED-BBA4F09525ED}"/>
    <cellStyle name="20% - Accent4 16" xfId="772" xr:uid="{85D136F8-EEB5-44EA-BB38-A6FEF4273F13}"/>
    <cellStyle name="20% - Accent4 16 2" xfId="3559" xr:uid="{764970AB-BFAA-4C90-AD4B-259C304E5B8A}"/>
    <cellStyle name="20% - Accent4 16 3" xfId="1742" xr:uid="{950D1841-D465-44CD-AC38-BBF3A603ACAC}"/>
    <cellStyle name="20% - Accent4 2" xfId="26" xr:uid="{00000000-0005-0000-0000-00000C000000}"/>
    <cellStyle name="20% - Accent4 2 10" xfId="1744" xr:uid="{54D073FE-89B5-42AF-8800-4936D4FC8816}"/>
    <cellStyle name="20% - Accent4 2 10 2" xfId="3560" xr:uid="{F0FCC6E9-9A38-49D1-9927-3B607C82477D}"/>
    <cellStyle name="20% - Accent4 2 11" xfId="1745" xr:uid="{77C37D7D-AD4E-4E44-AAC8-62FDBF96F9D0}"/>
    <cellStyle name="20% - Accent4 2 12" xfId="1743" xr:uid="{AFA13CE3-10B8-4DED-87A6-6B6400BA135A}"/>
    <cellStyle name="20% - Accent4 2 2" xfId="827" xr:uid="{D06E2F48-0918-4986-B898-28978AD07AFD}"/>
    <cellStyle name="20% - Accent4 2 2 2" xfId="1747" xr:uid="{678E97AB-0FB7-44E8-84B9-CE9C363EF2B5}"/>
    <cellStyle name="20% - Accent4 2 2 3" xfId="1746" xr:uid="{D7C4F4BB-EDA9-484D-A385-99C3C678F403}"/>
    <cellStyle name="20% - Accent4 2 3" xfId="152" xr:uid="{628FC5C7-725D-4262-97F4-6C2D4880CC12}"/>
    <cellStyle name="20% - Accent4 2 3 2" xfId="1749" xr:uid="{69D0A0ED-2CDC-4063-A111-A82F96B41BD4}"/>
    <cellStyle name="20% - Accent4 2 3 2 2" xfId="1750" xr:uid="{283353C4-3096-4729-B65C-126A06F63F43}"/>
    <cellStyle name="20% - Accent4 2 3 2 2 2" xfId="1751" xr:uid="{33BB1330-B8D5-46C8-B018-822EBD77C0E6}"/>
    <cellStyle name="20% - Accent4 2 3 2 2 2 2" xfId="3563" xr:uid="{12B4B666-3698-412A-BC90-CDB4DFD043C5}"/>
    <cellStyle name="20% - Accent4 2 3 2 2 3" xfId="1752" xr:uid="{79023508-297B-4F79-836A-EA83F48BEA9E}"/>
    <cellStyle name="20% - Accent4 2 3 2 2 3 2" xfId="3564" xr:uid="{194AD7FE-B059-4472-9C21-F32980C1F739}"/>
    <cellStyle name="20% - Accent4 2 3 2 2 4" xfId="3562" xr:uid="{75F65987-F25B-4946-BC22-BEEA44F84039}"/>
    <cellStyle name="20% - Accent4 2 3 2 3" xfId="1753" xr:uid="{13CC0873-A7A7-4B81-B3D2-2779F588AA6F}"/>
    <cellStyle name="20% - Accent4 2 3 2 3 2" xfId="3565" xr:uid="{7D00510F-52CD-4B92-B63A-CDA9E15983ED}"/>
    <cellStyle name="20% - Accent4 2 3 2 4" xfId="1754" xr:uid="{E68A0AA9-8EEF-4750-B064-71F61369D7CC}"/>
    <cellStyle name="20% - Accent4 2 3 2 4 2" xfId="3566" xr:uid="{A1F9D459-7634-4D20-BCDB-4945A883C0B1}"/>
    <cellStyle name="20% - Accent4 2 3 2 5" xfId="3561" xr:uid="{28B0F5FA-6346-4F3D-A62E-73AFC3E2C391}"/>
    <cellStyle name="20% - Accent4 2 3 3" xfId="1755" xr:uid="{9D364379-B6D4-4BF5-B77F-BCACE24BDE4B}"/>
    <cellStyle name="20% - Accent4 2 3 3 2" xfId="1756" xr:uid="{0B506E59-D69B-4588-8269-13CE5E593D7F}"/>
    <cellStyle name="20% - Accent4 2 3 3 2 2" xfId="3568" xr:uid="{94F89B3A-E1DE-415F-8292-3BC4A067D7A5}"/>
    <cellStyle name="20% - Accent4 2 3 3 3" xfId="1757" xr:uid="{8545E290-4B57-41FD-931D-A002DB89A433}"/>
    <cellStyle name="20% - Accent4 2 3 3 3 2" xfId="3569" xr:uid="{9784FB1E-4F16-4710-ADE0-59DAA769B334}"/>
    <cellStyle name="20% - Accent4 2 3 3 4" xfId="3567" xr:uid="{83E94726-342D-49C5-83A1-9BF415FC1A33}"/>
    <cellStyle name="20% - Accent4 2 3 4" xfId="1758" xr:uid="{2476ED10-30BE-4102-91DA-85F4BB7B7EE6}"/>
    <cellStyle name="20% - Accent4 2 3 4 2" xfId="3570" xr:uid="{CB1F2BC7-1A4B-4814-A358-BD6B0254B50E}"/>
    <cellStyle name="20% - Accent4 2 3 5" xfId="1759" xr:uid="{F94FCD33-2F63-400C-9C58-12AFD7C3BFD9}"/>
    <cellStyle name="20% - Accent4 2 3 5 2" xfId="3571" xr:uid="{48D0839C-B2F6-4FF6-AAAA-DE5AD4CF833A}"/>
    <cellStyle name="20% - Accent4 2 3 6" xfId="1748" xr:uid="{EE66645C-6120-4E1E-AA54-D3E3A5DE838C}"/>
    <cellStyle name="20% - Accent4 2 4" xfId="1760" xr:uid="{7952B619-E684-4878-B32F-6A13386345AA}"/>
    <cellStyle name="20% - Accent4 2 4 2" xfId="1761" xr:uid="{315D7DEB-F00F-466B-B2ED-A724C74606EC}"/>
    <cellStyle name="20% - Accent4 2 4 2 2" xfId="1762" xr:uid="{3B709003-D2FE-49FC-A4F9-1F8FF7FDE45E}"/>
    <cellStyle name="20% - Accent4 2 4 2 2 2" xfId="3573" xr:uid="{8E5AEB89-095C-4653-9C72-D4C46B9CC24B}"/>
    <cellStyle name="20% - Accent4 2 4 2 3" xfId="1763" xr:uid="{814BE4C3-256E-41DF-94FB-9FF0429C3042}"/>
    <cellStyle name="20% - Accent4 2 4 2 3 2" xfId="3574" xr:uid="{F47F5A96-69C6-41AD-B7C6-20A9BD94428C}"/>
    <cellStyle name="20% - Accent4 2 4 2 4" xfId="3572" xr:uid="{E2E7FBE2-D5A8-474C-935D-BEBA7C61F486}"/>
    <cellStyle name="20% - Accent4 2 4 3" xfId="1764" xr:uid="{611627E5-1508-4957-A006-FFFBEA1D07C8}"/>
    <cellStyle name="20% - Accent4 2 4 3 2" xfId="1765" xr:uid="{7738B659-F889-46F5-80B0-2182CAE98115}"/>
    <cellStyle name="20% - Accent4 2 4 3 2 2" xfId="3576" xr:uid="{EDEA2F8B-879A-402D-9296-D33C472162E0}"/>
    <cellStyle name="20% - Accent4 2 4 3 3" xfId="1766" xr:uid="{0D8B1020-3025-4B62-968E-52396DD9BDD2}"/>
    <cellStyle name="20% - Accent4 2 4 3 3 2" xfId="3577" xr:uid="{D8C30CCD-E059-4D5B-B355-7A2380FC0249}"/>
    <cellStyle name="20% - Accent4 2 4 3 4" xfId="3575" xr:uid="{5F0B4037-0847-4E2C-BAEA-62B4179C4FCF}"/>
    <cellStyle name="20% - Accent4 2 4 4" xfId="1767" xr:uid="{D8461180-32B6-43A0-B065-72A33417F281}"/>
    <cellStyle name="20% - Accent4 2 4 4 2" xfId="3578" xr:uid="{6D73A7BB-442A-442C-AA03-B53ADF260CC3}"/>
    <cellStyle name="20% - Accent4 2 4 5" xfId="1768" xr:uid="{06C37E18-20E3-4224-9FEA-7EBDB22CE016}"/>
    <cellStyle name="20% - Accent4 2 4 5 2" xfId="3579" xr:uid="{469443F5-8581-4D85-BE21-6BBABFB677E7}"/>
    <cellStyle name="20% - Accent4 2 5" xfId="1769" xr:uid="{25C2BEDF-53BA-461B-9E7B-A0DEA97C32AC}"/>
    <cellStyle name="20% - Accent4 2 5 2" xfId="1770" xr:uid="{25550139-50AF-424D-80A1-E9AD95BE82A6}"/>
    <cellStyle name="20% - Accent4 2 5 2 2" xfId="1771" xr:uid="{FD7EA22A-724D-488E-A498-3F2198D68930}"/>
    <cellStyle name="20% - Accent4 2 5 2 2 2" xfId="3581" xr:uid="{3ABB0F9C-FCBB-4BCC-846E-E38032408F2B}"/>
    <cellStyle name="20% - Accent4 2 5 2 3" xfId="1772" xr:uid="{A89A1DF8-6FB4-4722-83D6-D0F3DD17C6A0}"/>
    <cellStyle name="20% - Accent4 2 5 2 3 2" xfId="3582" xr:uid="{3331A5C4-23DC-4A8C-A379-1291AF59D2AB}"/>
    <cellStyle name="20% - Accent4 2 5 2 4" xfId="3580" xr:uid="{1EF04296-F4C4-4361-ADDB-EF01B6094F7E}"/>
    <cellStyle name="20% - Accent4 2 5 3" xfId="1773" xr:uid="{92434B3E-05FA-48C4-ACB4-BB5E68059A82}"/>
    <cellStyle name="20% - Accent4 2 5 3 2" xfId="3583" xr:uid="{3FAB0361-5598-4FF8-BE29-3981AD588D5E}"/>
    <cellStyle name="20% - Accent4 2 5 4" xfId="1774" xr:uid="{B43F12B6-C8BE-4D3B-9FBF-F46C163BB608}"/>
    <cellStyle name="20% - Accent4 2 5 4 2" xfId="3584" xr:uid="{7E43AC10-0C43-4D98-A66A-F854A8711FEF}"/>
    <cellStyle name="20% - Accent4 2 6" xfId="1775" xr:uid="{724BB150-FCCF-4380-BEB7-CF2253E66C4F}"/>
    <cellStyle name="20% - Accent4 2 6 2" xfId="1776" xr:uid="{09491894-4FB0-4065-B418-F674D8C7B267}"/>
    <cellStyle name="20% - Accent4 2 6 2 2" xfId="3585" xr:uid="{86CA2B0B-4D7D-40FD-A26E-33D06D9F9F08}"/>
    <cellStyle name="20% - Accent4 2 6 3" xfId="1777" xr:uid="{2CBD9E7D-2751-410F-B491-8E6381702292}"/>
    <cellStyle name="20% - Accent4 2 6 3 2" xfId="3586" xr:uid="{933E32FD-6883-4278-873C-A3B94CF88997}"/>
    <cellStyle name="20% - Accent4 2 7" xfId="1778" xr:uid="{77A96DC0-DD1B-468F-BE56-7FD0E5E42E3B}"/>
    <cellStyle name="20% - Accent4 2 7 2" xfId="3587" xr:uid="{3790F5D9-72DF-4EBF-8F10-696D5352410D}"/>
    <cellStyle name="20% - Accent4 2 8" xfId="1779" xr:uid="{575E8197-C13E-4BD0-9E04-5706E8613CC1}"/>
    <cellStyle name="20% - Accent4 2 8 2" xfId="3588" xr:uid="{56E28D11-E2A8-4FEF-AE75-3C9F5B296963}"/>
    <cellStyle name="20% - Accent4 2 9" xfId="1780" xr:uid="{F028F8DA-5D83-4E60-BB9B-522A4323BD1F}"/>
    <cellStyle name="20% - Accent4 3" xfId="153" xr:uid="{67E18104-DDA9-43A1-8F21-8E27D7C24A4F}"/>
    <cellStyle name="20% - Accent4 3 2" xfId="1782" xr:uid="{3C1BB383-95D0-4427-9906-10DA8817DD26}"/>
    <cellStyle name="20% - Accent4 3 3" xfId="1783" xr:uid="{8FB1666A-F503-4A6E-97A0-266560F68304}"/>
    <cellStyle name="20% - Accent4 3 4" xfId="1781" xr:uid="{320A6996-6902-4E45-882C-DEB6DE128407}"/>
    <cellStyle name="20% - Accent4 4" xfId="154" xr:uid="{53918B96-84C3-4AA2-ABA4-AFB5DA482B70}"/>
    <cellStyle name="20% - Accent4 4 2" xfId="1785" xr:uid="{F8713150-42DD-4521-930D-306984A51487}"/>
    <cellStyle name="20% - Accent4 4 3" xfId="1784" xr:uid="{3DED4420-8A5C-478F-A9FC-6D89BBC53C99}"/>
    <cellStyle name="20% - Accent4 5" xfId="155" xr:uid="{03FA5905-9E5F-405E-AEB8-80E98202F63F}"/>
    <cellStyle name="20% - Accent4 5 2" xfId="1786" xr:uid="{C56B01B5-4049-40F7-87AF-5355435594E9}"/>
    <cellStyle name="20% - Accent4 6" xfId="156" xr:uid="{34A83AA0-64AF-4F94-A503-6B66AF786291}"/>
    <cellStyle name="20% - Accent4 6 2" xfId="1787" xr:uid="{525E2910-2FE2-42CF-9225-16A81E7A1DB6}"/>
    <cellStyle name="20% - Accent4 7" xfId="157" xr:uid="{F133B68C-37B6-4046-B43A-51FDE6B78839}"/>
    <cellStyle name="20% - Accent4 7 2" xfId="1788" xr:uid="{6CC9F2B1-EF84-471E-9F9A-204453412814}"/>
    <cellStyle name="20% - Accent4 8" xfId="158" xr:uid="{C6135576-4E9B-4065-8B00-004EF1FCA6D1}"/>
    <cellStyle name="20% - Accent4 8 2" xfId="1789" xr:uid="{8419A936-CF19-4979-A51F-7A50AF69CD37}"/>
    <cellStyle name="20% - Accent4 9" xfId="159" xr:uid="{40EED231-805A-4BF5-97A3-F43A32E53F31}"/>
    <cellStyle name="20% - Accent4 9 2" xfId="1790" xr:uid="{AC6A86F8-775F-406F-9E53-EDA4F096CEDC}"/>
    <cellStyle name="20% - Accent5" xfId="1536" builtinId="46" customBuiltin="1"/>
    <cellStyle name="20% - Accent5 10" xfId="160" xr:uid="{556A4AC5-934D-4EE2-937B-B4B7DFF7734B}"/>
    <cellStyle name="20% - Accent5 11" xfId="161" xr:uid="{A6203A92-BE82-4D71-B8FB-C8951C6F6557}"/>
    <cellStyle name="20% - Accent5 12" xfId="162" xr:uid="{B3C0FFAB-84FF-4C68-A0EA-EE0C344E5FE2}"/>
    <cellStyle name="20% - Accent5 13" xfId="163" xr:uid="{3EBDDB24-F2EE-474D-B752-BE8BE3DE5A38}"/>
    <cellStyle name="20% - Accent5 14" xfId="164" xr:uid="{27F55098-EFEC-46E3-BDA7-4277FDD475BC}"/>
    <cellStyle name="20% - Accent5 15" xfId="165" xr:uid="{04EFEFEB-0B30-4830-805D-7D5774D404E0}"/>
    <cellStyle name="20% - Accent5 16" xfId="773" xr:uid="{B58B696C-1AD8-4BE3-AD63-BCF4319CEA5A}"/>
    <cellStyle name="20% - Accent5 16 2" xfId="3589" xr:uid="{FE345CCE-B84E-4A89-ADEA-544E2D7209AD}"/>
    <cellStyle name="20% - Accent5 2" xfId="27" xr:uid="{00000000-0005-0000-0000-00000D000000}"/>
    <cellStyle name="20% - Accent5 2 10" xfId="1792" xr:uid="{71C98489-7B69-4EEF-826B-65BB30118EA7}"/>
    <cellStyle name="20% - Accent5 2 10 2" xfId="3590" xr:uid="{7BCF6B3E-19DC-4392-9C20-9239FDA0B4E8}"/>
    <cellStyle name="20% - Accent5 2 11" xfId="1793" xr:uid="{EE300081-7C92-4304-95BC-1E3F98984CD1}"/>
    <cellStyle name="20% - Accent5 2 12" xfId="1791" xr:uid="{6A3D2981-2F34-4314-8A9C-74A20B6B0C38}"/>
    <cellStyle name="20% - Accent5 2 2" xfId="831" xr:uid="{652E9BFD-81A6-4A19-BEF1-E7BFF3FAB0F1}"/>
    <cellStyle name="20% - Accent5 2 2 2" xfId="1795" xr:uid="{B3424F52-1549-40BE-9424-0058C7B31C4A}"/>
    <cellStyle name="20% - Accent5 2 2 3" xfId="1794" xr:uid="{6199E84D-BF15-49F2-BC02-07E00DE8BC58}"/>
    <cellStyle name="20% - Accent5 2 3" xfId="166" xr:uid="{23D49ADB-2FF4-4148-9B22-B3C738EA11E9}"/>
    <cellStyle name="20% - Accent5 2 3 2" xfId="1797" xr:uid="{27794E6E-6D4C-4F6D-9230-BADF28E7F82D}"/>
    <cellStyle name="20% - Accent5 2 3 2 2" xfId="1798" xr:uid="{E20B2E87-E381-4C89-86FD-1320FF189085}"/>
    <cellStyle name="20% - Accent5 2 3 2 2 2" xfId="1799" xr:uid="{5E05B93B-BC92-40A7-8B7D-5E4DAB9DCD6E}"/>
    <cellStyle name="20% - Accent5 2 3 2 2 2 2" xfId="3593" xr:uid="{605A1994-BD55-4CF4-A99F-5CD9936CF409}"/>
    <cellStyle name="20% - Accent5 2 3 2 2 3" xfId="1800" xr:uid="{0B95B2EE-7245-42FA-BEE0-295418FE7D98}"/>
    <cellStyle name="20% - Accent5 2 3 2 2 3 2" xfId="3594" xr:uid="{12736E35-586E-4EB5-8449-946FB9B67442}"/>
    <cellStyle name="20% - Accent5 2 3 2 2 4" xfId="3592" xr:uid="{E9EF7DA4-CFCE-42BE-8C9E-6C59342521D2}"/>
    <cellStyle name="20% - Accent5 2 3 2 3" xfId="1801" xr:uid="{36905932-0293-4A5E-9834-FE39D9B43F55}"/>
    <cellStyle name="20% - Accent5 2 3 2 3 2" xfId="3595" xr:uid="{C5105758-1FA8-4780-8629-B59215E78BCB}"/>
    <cellStyle name="20% - Accent5 2 3 2 4" xfId="1802" xr:uid="{44725669-244D-4B16-82A1-8A4F87833BC6}"/>
    <cellStyle name="20% - Accent5 2 3 2 4 2" xfId="3596" xr:uid="{8341948F-B45E-42FA-A55E-F53940E4DDBD}"/>
    <cellStyle name="20% - Accent5 2 3 2 5" xfId="3591" xr:uid="{E18D2F25-2640-421B-A0AF-808A96B0084C}"/>
    <cellStyle name="20% - Accent5 2 3 3" xfId="1803" xr:uid="{BA038834-D3CF-447C-9B7A-32DFD8C1C178}"/>
    <cellStyle name="20% - Accent5 2 3 3 2" xfId="1804" xr:uid="{A954605A-3E1E-4435-953A-6783E2E168D8}"/>
    <cellStyle name="20% - Accent5 2 3 3 2 2" xfId="3598" xr:uid="{C1C4694A-5F2C-4220-B1C0-1AC2C674414E}"/>
    <cellStyle name="20% - Accent5 2 3 3 3" xfId="1805" xr:uid="{0DED8B16-E356-4629-998D-F3160F7D9BAF}"/>
    <cellStyle name="20% - Accent5 2 3 3 3 2" xfId="3599" xr:uid="{D3E2D998-B3B2-4D6D-9A12-299734A5D654}"/>
    <cellStyle name="20% - Accent5 2 3 3 4" xfId="3597" xr:uid="{39C2D6E8-B96F-4B3F-B9C3-A7135C92806E}"/>
    <cellStyle name="20% - Accent5 2 3 4" xfId="1806" xr:uid="{82B3BD61-24FA-42A5-ADC2-D8931A4F6940}"/>
    <cellStyle name="20% - Accent5 2 3 4 2" xfId="3600" xr:uid="{8B8BE1AC-65DD-4460-AD19-B4DF3CB3EF25}"/>
    <cellStyle name="20% - Accent5 2 3 5" xfId="1807" xr:uid="{C807238B-D19F-4B94-A68B-D352156AACA9}"/>
    <cellStyle name="20% - Accent5 2 3 5 2" xfId="3601" xr:uid="{294E5BEC-BE01-4E84-9864-010A0D596E54}"/>
    <cellStyle name="20% - Accent5 2 3 6" xfId="1796" xr:uid="{B3E89FB7-C03A-4FA7-B0C9-DC00824A0616}"/>
    <cellStyle name="20% - Accent5 2 4" xfId="1808" xr:uid="{CCEDD613-B1E9-433D-A9FF-0AFA374F7473}"/>
    <cellStyle name="20% - Accent5 2 4 2" xfId="1809" xr:uid="{3B1CD36D-0747-47A7-BCE5-5E01CCF316D6}"/>
    <cellStyle name="20% - Accent5 2 4 2 2" xfId="1810" xr:uid="{6B801E50-5EE8-42A6-A07C-2B07BD0E2051}"/>
    <cellStyle name="20% - Accent5 2 4 2 2 2" xfId="3603" xr:uid="{5B2EA176-E72E-460B-B156-5ADBBF7F1667}"/>
    <cellStyle name="20% - Accent5 2 4 2 3" xfId="1811" xr:uid="{40BEE81D-FFE9-48DF-B18C-65B242BC6562}"/>
    <cellStyle name="20% - Accent5 2 4 2 3 2" xfId="3604" xr:uid="{CABC28D2-2E51-4CA0-B3FC-10DF7B01C1DD}"/>
    <cellStyle name="20% - Accent5 2 4 2 4" xfId="3602" xr:uid="{BAD8F3E4-931E-4ECB-99FA-D5874BE4358F}"/>
    <cellStyle name="20% - Accent5 2 4 3" xfId="1812" xr:uid="{C322152E-41FB-4C0E-B418-23D8EA072659}"/>
    <cellStyle name="20% - Accent5 2 4 3 2" xfId="1813" xr:uid="{AB636476-AC29-4ECB-86F6-431ABE656312}"/>
    <cellStyle name="20% - Accent5 2 4 3 2 2" xfId="3606" xr:uid="{9CDECF2D-0912-4488-BB8D-EE3372F2E77C}"/>
    <cellStyle name="20% - Accent5 2 4 3 3" xfId="1814" xr:uid="{AE5C2B64-6479-4F56-BD44-19E79D91DBE6}"/>
    <cellStyle name="20% - Accent5 2 4 3 3 2" xfId="3607" xr:uid="{CB1EB954-886A-4ECE-A9D3-F2CF9BFBF4AC}"/>
    <cellStyle name="20% - Accent5 2 4 3 4" xfId="3605" xr:uid="{4FEC6C5A-8BDD-4B59-B107-9EDB7E96831A}"/>
    <cellStyle name="20% - Accent5 2 4 4" xfId="1815" xr:uid="{A6234B20-AC46-405B-94A0-81018B860867}"/>
    <cellStyle name="20% - Accent5 2 4 4 2" xfId="3608" xr:uid="{0F3EEE9E-E4E6-4B5A-A3F3-04257A9BCFB4}"/>
    <cellStyle name="20% - Accent5 2 4 5" xfId="1816" xr:uid="{B8ED3670-D86E-48E5-B45F-950F447F9003}"/>
    <cellStyle name="20% - Accent5 2 4 5 2" xfId="3609" xr:uid="{45269C00-6851-43C0-A9F3-74D8BB16486B}"/>
    <cellStyle name="20% - Accent5 2 5" xfId="1817" xr:uid="{2656896C-6E78-4704-AC5E-18E29CA10FC6}"/>
    <cellStyle name="20% - Accent5 2 5 2" xfId="1818" xr:uid="{9DBFEB37-D709-40EF-925A-428A15F3EE0F}"/>
    <cellStyle name="20% - Accent5 2 5 2 2" xfId="1819" xr:uid="{852D3812-0177-4220-915C-5898FF792078}"/>
    <cellStyle name="20% - Accent5 2 5 2 2 2" xfId="3611" xr:uid="{2DE91874-2139-4E27-A5BE-393FBB452932}"/>
    <cellStyle name="20% - Accent5 2 5 2 3" xfId="1820" xr:uid="{AB51A72D-C103-4A1C-AF4E-C3368F208D26}"/>
    <cellStyle name="20% - Accent5 2 5 2 3 2" xfId="3612" xr:uid="{20C3EDFF-58F1-4ACA-9E3E-DAFF8B3197FA}"/>
    <cellStyle name="20% - Accent5 2 5 2 4" xfId="3610" xr:uid="{69B82281-5DCB-4D17-A2E1-8C45ED0CAE10}"/>
    <cellStyle name="20% - Accent5 2 5 3" xfId="1821" xr:uid="{1CD9EC5C-9D4D-4624-9B2F-DEF54C7B24CE}"/>
    <cellStyle name="20% - Accent5 2 5 3 2" xfId="3613" xr:uid="{1946A986-6622-44B7-86FB-763D2D5DE60C}"/>
    <cellStyle name="20% - Accent5 2 5 4" xfId="1822" xr:uid="{30FE2364-432D-4172-BE0F-E002706C3391}"/>
    <cellStyle name="20% - Accent5 2 5 4 2" xfId="3614" xr:uid="{60B59F4D-2DF8-4092-A3CF-7982F7507FEB}"/>
    <cellStyle name="20% - Accent5 2 6" xfId="1823" xr:uid="{AE8CE67D-9DF8-4788-9138-3E4E3A3C1972}"/>
    <cellStyle name="20% - Accent5 2 6 2" xfId="1824" xr:uid="{00BEAD57-D085-4BAF-BBED-E2AE8F6C388A}"/>
    <cellStyle name="20% - Accent5 2 6 2 2" xfId="3615" xr:uid="{E8C840E8-9E75-49AD-B6CA-090B9F609A95}"/>
    <cellStyle name="20% - Accent5 2 6 3" xfId="1825" xr:uid="{88C76C3D-87B2-45D3-9C64-61D2494D0E16}"/>
    <cellStyle name="20% - Accent5 2 6 3 2" xfId="3616" xr:uid="{6EBEC55A-F440-46F2-8334-E53BB0948729}"/>
    <cellStyle name="20% - Accent5 2 7" xfId="1826" xr:uid="{3C2548D1-7CA5-444E-AA66-4C52A2EA0ADE}"/>
    <cellStyle name="20% - Accent5 2 7 2" xfId="3617" xr:uid="{78452E12-3331-4A59-99B5-867AE81D4517}"/>
    <cellStyle name="20% - Accent5 2 8" xfId="1827" xr:uid="{5FC512A0-11EC-42B0-93CF-9AC4270D6686}"/>
    <cellStyle name="20% - Accent5 2 8 2" xfId="3618" xr:uid="{D989BE92-8F41-4BC0-A2BE-0E1CDA7F1C86}"/>
    <cellStyle name="20% - Accent5 2 9" xfId="1828" xr:uid="{298C4E27-D5CD-4888-B774-25B335674F21}"/>
    <cellStyle name="20% - Accent5 3" xfId="167" xr:uid="{E98098AD-5A8D-48A7-8DE0-9ADC2266105D}"/>
    <cellStyle name="20% - Accent5 3 2" xfId="1830" xr:uid="{1414CA7F-9BBC-4C98-A924-AC6E9B8947F7}"/>
    <cellStyle name="20% - Accent5 3 3" xfId="1831" xr:uid="{8057AF8A-F792-42BD-A2A2-AC201ECF05B7}"/>
    <cellStyle name="20% - Accent5 3 4" xfId="1829" xr:uid="{26169768-8B99-45F1-BD6E-21882DA9950D}"/>
    <cellStyle name="20% - Accent5 4" xfId="168" xr:uid="{1C1E91C7-7042-429F-B1C5-411ACF9CBBCF}"/>
    <cellStyle name="20% - Accent5 4 2" xfId="1833" xr:uid="{D3AC57D8-B1FE-4ED1-ABA2-67D28A9C4621}"/>
    <cellStyle name="20% - Accent5 4 3" xfId="1832" xr:uid="{10EDFFD2-26C1-4130-A345-10F25E4D1307}"/>
    <cellStyle name="20% - Accent5 5" xfId="169" xr:uid="{422A26CC-E4B4-4336-AA0F-8359A04D7B83}"/>
    <cellStyle name="20% - Accent5 5 2" xfId="1834" xr:uid="{DCA32202-F6B7-4785-A61A-90C37B2B7F52}"/>
    <cellStyle name="20% - Accent5 6" xfId="170" xr:uid="{1B4D09BC-54C5-442E-ADA7-412AA2DFD1A5}"/>
    <cellStyle name="20% - Accent5 6 2" xfId="1835" xr:uid="{5413F737-A350-46A2-9749-0B9753862096}"/>
    <cellStyle name="20% - Accent5 7" xfId="171" xr:uid="{B4CFA23B-E802-4FB4-AB99-BD62BDE3BEB2}"/>
    <cellStyle name="20% - Accent5 8" xfId="172" xr:uid="{5B8A6E2A-2E41-4FF2-AEC8-5756A286555C}"/>
    <cellStyle name="20% - Accent5 9" xfId="173" xr:uid="{FF94B448-1F47-4F55-9AD1-ABAD8D916933}"/>
    <cellStyle name="20% - Accent6 10" xfId="174" xr:uid="{B0B014D6-3453-46F5-B2FE-B2959DF45DFB}"/>
    <cellStyle name="20% - Accent6 10 2" xfId="1836" xr:uid="{4075EBDF-8885-4E7A-BCCE-F44457AD2599}"/>
    <cellStyle name="20% - Accent6 11" xfId="175" xr:uid="{AC3EC00E-9E37-44DC-9918-23252D168BF2}"/>
    <cellStyle name="20% - Accent6 11 2" xfId="1837" xr:uid="{6A542AC8-E240-45F6-92FB-AB5EA3E9589A}"/>
    <cellStyle name="20% - Accent6 12" xfId="176" xr:uid="{58693F19-3FFD-4B09-A291-A5F2514A84CD}"/>
    <cellStyle name="20% - Accent6 12 2" xfId="1838" xr:uid="{4FBD6B97-FFE7-4DD3-9EE1-1121DB5CF54D}"/>
    <cellStyle name="20% - Accent6 13" xfId="177" xr:uid="{3198F183-ADFC-4503-9E1D-F891D7E566AF}"/>
    <cellStyle name="20% - Accent6 13 2" xfId="1839" xr:uid="{95A9D394-2A1B-4847-A736-024C47AC0430}"/>
    <cellStyle name="20% - Accent6 14" xfId="178" xr:uid="{B60C7443-327B-4F8E-9518-15019205241A}"/>
    <cellStyle name="20% - Accent6 14 2" xfId="1840" xr:uid="{B8DF27CD-E3F7-4374-9D83-0EA22B10CC6E}"/>
    <cellStyle name="20% - Accent6 15" xfId="179" xr:uid="{45E4AECC-F318-4938-BD9F-65DC08E5D592}"/>
    <cellStyle name="20% - Accent6 15 2" xfId="1841" xr:uid="{CAC3E483-6142-41AD-8242-A6D9B6AC6F75}"/>
    <cellStyle name="20% - Accent6 16" xfId="774" xr:uid="{4F2E5720-5564-4734-A561-D6DED9723019}"/>
    <cellStyle name="20% - Accent6 16 2" xfId="3619" xr:uid="{D975B56B-ED72-456B-97D8-6BB6161BC447}"/>
    <cellStyle name="20% - Accent6 16 3" xfId="1842" xr:uid="{D32A9AD5-8833-4D95-8E3A-7C13750DE7F2}"/>
    <cellStyle name="20% - Accent6 2" xfId="28" xr:uid="{00000000-0005-0000-0000-00000E000000}"/>
    <cellStyle name="20% - Accent6 2 10" xfId="1844" xr:uid="{A218894C-2917-4CDF-B0F2-1405AE7ECC0E}"/>
    <cellStyle name="20% - Accent6 2 10 2" xfId="3620" xr:uid="{AA265A97-5C0C-4AF8-BB76-6846FC37AF01}"/>
    <cellStyle name="20% - Accent6 2 11" xfId="1845" xr:uid="{9B977E00-8775-4F07-BDC8-DD726FF47FBB}"/>
    <cellStyle name="20% - Accent6 2 12" xfId="1843" xr:uid="{91538E26-D45B-4210-9EB3-61D408847985}"/>
    <cellStyle name="20% - Accent6 2 2" xfId="835" xr:uid="{E1ACEB4D-35CF-439A-A936-4E9FAADC3D97}"/>
    <cellStyle name="20% - Accent6 2 2 2" xfId="1847" xr:uid="{39D26186-7A49-4016-B2E2-AE32B1243692}"/>
    <cellStyle name="20% - Accent6 2 2 3" xfId="1846" xr:uid="{DCDB8022-39F9-41CF-87B6-33A83D870B74}"/>
    <cellStyle name="20% - Accent6 2 3" xfId="180" xr:uid="{23858E14-2CB1-44A7-B23D-E19C6229B1E9}"/>
    <cellStyle name="20% - Accent6 2 3 2" xfId="1849" xr:uid="{6C63CF01-C394-4AB4-A25D-58CAE29191F8}"/>
    <cellStyle name="20% - Accent6 2 3 2 2" xfId="1850" xr:uid="{CA240F9E-51C7-49B3-BE7D-30CDED4BEB75}"/>
    <cellStyle name="20% - Accent6 2 3 2 2 2" xfId="1851" xr:uid="{D5F01CF7-4EDF-4F79-B0FA-F53F2754BFF3}"/>
    <cellStyle name="20% - Accent6 2 3 2 2 2 2" xfId="3623" xr:uid="{E4145732-22AF-4D3B-821E-BEDA847F0E08}"/>
    <cellStyle name="20% - Accent6 2 3 2 2 3" xfId="1852" xr:uid="{C7066290-5C85-40D4-804E-74E2D005164F}"/>
    <cellStyle name="20% - Accent6 2 3 2 2 3 2" xfId="3624" xr:uid="{10AB21A2-CA1A-48D4-9430-AB8282289CE6}"/>
    <cellStyle name="20% - Accent6 2 3 2 2 4" xfId="3622" xr:uid="{FDE3BAB7-CB46-4D17-8867-5DA67CB8ADD3}"/>
    <cellStyle name="20% - Accent6 2 3 2 3" xfId="1853" xr:uid="{406C0B30-3C72-4B70-96F7-99ECC47F2275}"/>
    <cellStyle name="20% - Accent6 2 3 2 3 2" xfId="3625" xr:uid="{009C7ED2-4B4C-4C6B-97A4-BAAA5BBDB866}"/>
    <cellStyle name="20% - Accent6 2 3 2 4" xfId="1854" xr:uid="{6B82D52E-6786-48C7-90BB-5F71EC00C1DB}"/>
    <cellStyle name="20% - Accent6 2 3 2 4 2" xfId="3626" xr:uid="{AE3F5D1D-0A63-461E-9DFE-64174B5597D0}"/>
    <cellStyle name="20% - Accent6 2 3 2 5" xfId="3621" xr:uid="{D3D60DE0-217E-4854-9911-C1448CE239BE}"/>
    <cellStyle name="20% - Accent6 2 3 3" xfId="1855" xr:uid="{7D1FAED3-C5D0-4F4E-A14B-4C0DF42C287E}"/>
    <cellStyle name="20% - Accent6 2 3 3 2" xfId="1856" xr:uid="{401C20F6-1B80-474D-BA51-E6894A9753B1}"/>
    <cellStyle name="20% - Accent6 2 3 3 2 2" xfId="3628" xr:uid="{ED065807-770A-435D-89D0-D9C1D131AAB0}"/>
    <cellStyle name="20% - Accent6 2 3 3 3" xfId="1857" xr:uid="{86B92519-5459-479C-A9F5-ABC11EF27365}"/>
    <cellStyle name="20% - Accent6 2 3 3 3 2" xfId="3629" xr:uid="{D7713012-AFEB-4F41-BFAA-C1156D1EB046}"/>
    <cellStyle name="20% - Accent6 2 3 3 4" xfId="3627" xr:uid="{ED96A0F2-6C5D-43E8-95CF-41BB1F22D8CE}"/>
    <cellStyle name="20% - Accent6 2 3 4" xfId="1858" xr:uid="{64AF398D-23B6-451F-8CD4-E438559B4922}"/>
    <cellStyle name="20% - Accent6 2 3 4 2" xfId="3630" xr:uid="{892D6F91-1BB6-41EA-849A-1E28A074C6B3}"/>
    <cellStyle name="20% - Accent6 2 3 5" xfId="1859" xr:uid="{F6C6279F-AD85-4CBE-9DBB-29279372B198}"/>
    <cellStyle name="20% - Accent6 2 3 5 2" xfId="3631" xr:uid="{0E6DD9F1-5FFC-430F-A24E-A26116D60315}"/>
    <cellStyle name="20% - Accent6 2 3 6" xfId="1848" xr:uid="{A45CE743-4F9A-42C7-9F70-72B6C1885BB4}"/>
    <cellStyle name="20% - Accent6 2 4" xfId="1860" xr:uid="{F6865488-F289-4E5F-B66B-7E1367A4C648}"/>
    <cellStyle name="20% - Accent6 2 4 2" xfId="1861" xr:uid="{9A52E259-76B7-45E2-8217-960A4451CC17}"/>
    <cellStyle name="20% - Accent6 2 4 2 2" xfId="1862" xr:uid="{EC90CFF3-5639-45C0-9721-0123943AE19C}"/>
    <cellStyle name="20% - Accent6 2 4 2 2 2" xfId="3633" xr:uid="{989B03C9-4988-4C99-8C7F-2B7AA6F84805}"/>
    <cellStyle name="20% - Accent6 2 4 2 3" xfId="1863" xr:uid="{A976CD2A-4896-4654-8640-BDEC9F19D453}"/>
    <cellStyle name="20% - Accent6 2 4 2 3 2" xfId="3634" xr:uid="{F33434C9-E9F2-4BBB-82B7-5A58EE333608}"/>
    <cellStyle name="20% - Accent6 2 4 2 4" xfId="3632" xr:uid="{882405F6-6346-4420-8FD0-D67C901AA3D6}"/>
    <cellStyle name="20% - Accent6 2 4 3" xfId="1864" xr:uid="{349B197B-665D-4F89-8BA4-EE3C709F1F68}"/>
    <cellStyle name="20% - Accent6 2 4 3 2" xfId="1865" xr:uid="{23B79C68-9FFC-4A54-BF41-EB9E33BDF47E}"/>
    <cellStyle name="20% - Accent6 2 4 3 2 2" xfId="3636" xr:uid="{722DD36B-0E85-4801-8FAC-DA37B28C07E9}"/>
    <cellStyle name="20% - Accent6 2 4 3 3" xfId="1866" xr:uid="{3F4022C2-F4B8-412C-BEDA-AF7D70D5086C}"/>
    <cellStyle name="20% - Accent6 2 4 3 3 2" xfId="3637" xr:uid="{6067AE05-CFC7-49F6-915E-D0CE1FEC446C}"/>
    <cellStyle name="20% - Accent6 2 4 3 4" xfId="3635" xr:uid="{B1BB9164-4308-4E4F-BE31-9C58050FFF5F}"/>
    <cellStyle name="20% - Accent6 2 4 4" xfId="1867" xr:uid="{2C355F21-04AC-41ED-9FCD-21E65FEEDAF7}"/>
    <cellStyle name="20% - Accent6 2 4 4 2" xfId="3638" xr:uid="{4A8E5C93-FE09-4638-B9B8-BAE7D5225FB2}"/>
    <cellStyle name="20% - Accent6 2 4 5" xfId="1868" xr:uid="{B5621B72-AF99-44F3-8CA2-2B1CCD080215}"/>
    <cellStyle name="20% - Accent6 2 4 5 2" xfId="3639" xr:uid="{BB7C9880-6D9B-43D9-AF90-2D711A49956A}"/>
    <cellStyle name="20% - Accent6 2 5" xfId="1869" xr:uid="{B81A29B6-D5A1-47E4-8731-2E94681D3D20}"/>
    <cellStyle name="20% - Accent6 2 5 2" xfId="1870" xr:uid="{8059A593-E160-4FBB-ABB7-6CFF7F4F7317}"/>
    <cellStyle name="20% - Accent6 2 5 2 2" xfId="1871" xr:uid="{03964C40-9D53-4059-8727-5C929EF94EB3}"/>
    <cellStyle name="20% - Accent6 2 5 2 2 2" xfId="3641" xr:uid="{97E60AAE-6C99-4BF9-AFA7-6978B8C7B4D1}"/>
    <cellStyle name="20% - Accent6 2 5 2 3" xfId="1872" xr:uid="{8E5787FE-D952-40CF-9211-FF05B3FB59E9}"/>
    <cellStyle name="20% - Accent6 2 5 2 3 2" xfId="3642" xr:uid="{509D6ED2-DA8F-42C0-83DE-64DA08DF04AE}"/>
    <cellStyle name="20% - Accent6 2 5 2 4" xfId="3640" xr:uid="{A621A568-019C-4258-92C5-67F0A077914E}"/>
    <cellStyle name="20% - Accent6 2 5 3" xfId="1873" xr:uid="{45D5856E-C041-4A15-9F35-5D7A2C5007FD}"/>
    <cellStyle name="20% - Accent6 2 5 3 2" xfId="3643" xr:uid="{C55797BB-DBC4-4D2F-9A35-4D46C9DA1AFB}"/>
    <cellStyle name="20% - Accent6 2 5 4" xfId="1874" xr:uid="{F181882C-5B84-4472-93FF-C1ACD53BDF87}"/>
    <cellStyle name="20% - Accent6 2 5 4 2" xfId="3644" xr:uid="{33950539-70C3-432E-8F3C-9653B45626A9}"/>
    <cellStyle name="20% - Accent6 2 6" xfId="1875" xr:uid="{C8E04D6A-E87A-4D90-AC48-33B7208DED46}"/>
    <cellStyle name="20% - Accent6 2 6 2" xfId="1876" xr:uid="{92891946-016F-45B2-A6D0-0A015574F3A3}"/>
    <cellStyle name="20% - Accent6 2 6 2 2" xfId="3645" xr:uid="{78EA7AF3-332E-44CE-BD76-25FA47660F2C}"/>
    <cellStyle name="20% - Accent6 2 6 3" xfId="1877" xr:uid="{5C293639-9677-4CBC-B632-75E37D68D342}"/>
    <cellStyle name="20% - Accent6 2 6 3 2" xfId="3646" xr:uid="{288E92F7-975F-4F5E-92F2-1A910A09BE2E}"/>
    <cellStyle name="20% - Accent6 2 7" xfId="1878" xr:uid="{3225EC68-D918-4DAB-9B48-1FDC9B7D12F9}"/>
    <cellStyle name="20% - Accent6 2 7 2" xfId="3647" xr:uid="{C2722BC4-5E33-4F1A-90BC-4424A80191A6}"/>
    <cellStyle name="20% - Accent6 2 8" xfId="1879" xr:uid="{8FC25B4E-C72D-489E-BD0A-30223C6EFDDA}"/>
    <cellStyle name="20% - Accent6 2 8 2" xfId="3648" xr:uid="{51E49769-3B5D-45E2-8FD9-4A7F71406172}"/>
    <cellStyle name="20% - Accent6 2 9" xfId="1880" xr:uid="{B09D870B-1C26-4944-9E0E-D3508D876196}"/>
    <cellStyle name="20% - Accent6 3" xfId="181" xr:uid="{C954C1DA-9CC4-4F08-ADE4-65A5EFF632AE}"/>
    <cellStyle name="20% - Accent6 3 2" xfId="1882" xr:uid="{D9BA174B-5B5C-4BCE-8596-EAE2B3AEF3D8}"/>
    <cellStyle name="20% - Accent6 3 3" xfId="1883" xr:uid="{346C3691-959D-490F-9158-F678056C785D}"/>
    <cellStyle name="20% - Accent6 3 4" xfId="1881" xr:uid="{23E61432-755A-4DCE-A1BC-D46DEFE6E29D}"/>
    <cellStyle name="20% - Accent6 4" xfId="182" xr:uid="{D27369D7-1364-455F-97A9-5A80947173E2}"/>
    <cellStyle name="20% - Accent6 4 2" xfId="1885" xr:uid="{EA5F32AF-AC76-47A8-A943-0E25B609BD34}"/>
    <cellStyle name="20% - Accent6 4 3" xfId="1884" xr:uid="{F6DF2EC6-758A-4065-A233-9432569A659D}"/>
    <cellStyle name="20% - Accent6 5" xfId="183" xr:uid="{66135377-1C7B-48AD-BBEB-E351F4E0F924}"/>
    <cellStyle name="20% - Accent6 5 2" xfId="1886" xr:uid="{8F1721BD-95E2-41F3-9596-7A564FB2F876}"/>
    <cellStyle name="20% - Accent6 6" xfId="184" xr:uid="{4389F928-9B8B-4D54-BEC3-08B3FBDA9B3F}"/>
    <cellStyle name="20% - Accent6 6 2" xfId="1887" xr:uid="{6A4D943C-D002-495E-8F1B-08AEB3F5C528}"/>
    <cellStyle name="20% - Accent6 7" xfId="185" xr:uid="{C2867C10-48D2-4372-BA82-BD0E35CB215A}"/>
    <cellStyle name="20% - Accent6 7 2" xfId="1888" xr:uid="{CB62D260-F9A2-4FCF-9A70-2816488921BC}"/>
    <cellStyle name="20% - Accent6 8" xfId="186" xr:uid="{D841A974-F1F2-4713-A333-1804D458F962}"/>
    <cellStyle name="20% - Accent6 8 2" xfId="1889" xr:uid="{C2A00ED0-47D9-4ACE-84AA-98DEF64E6687}"/>
    <cellStyle name="20% - Accent6 9" xfId="187" xr:uid="{6025B705-C6CF-44DA-AB4D-B4DE7650F5E3}"/>
    <cellStyle name="20% - Accent6 9 2" xfId="1890" xr:uid="{35184BCE-730E-42E7-B7D9-1A75C1E86DF6}"/>
    <cellStyle name="40% - Accent1 10" xfId="188" xr:uid="{B0E83834-BEB3-4CE3-97BF-242EE57722C5}"/>
    <cellStyle name="40% - Accent1 10 2" xfId="1891" xr:uid="{FD259CA4-D14A-4A83-BEE6-B08A173C9F6F}"/>
    <cellStyle name="40% - Accent1 11" xfId="189" xr:uid="{B4A2DA17-1254-4028-8D4F-31196E952D02}"/>
    <cellStyle name="40% - Accent1 11 2" xfId="1892" xr:uid="{DE2243A3-A02D-4322-8DF6-13608E46288C}"/>
    <cellStyle name="40% - Accent1 12" xfId="190" xr:uid="{5A5E40CA-9493-4F17-9194-C528CF9B1274}"/>
    <cellStyle name="40% - Accent1 12 2" xfId="1893" xr:uid="{93B68D34-F57D-4608-B9EA-4900314464EF}"/>
    <cellStyle name="40% - Accent1 13" xfId="191" xr:uid="{DFBCE186-3B79-43D4-9BFB-7D3DA7941470}"/>
    <cellStyle name="40% - Accent1 13 2" xfId="1894" xr:uid="{1C08F7CD-2BC5-44E7-846E-1E141A090D32}"/>
    <cellStyle name="40% - Accent1 14" xfId="192" xr:uid="{AD3BC8B0-7404-4C7A-AD16-9753D6A66FD7}"/>
    <cellStyle name="40% - Accent1 14 2" xfId="1895" xr:uid="{C91BFA94-C2F6-4DDA-BE0F-BCFAC33E36DB}"/>
    <cellStyle name="40% - Accent1 15" xfId="193" xr:uid="{09743533-13AB-44D0-BB58-9017799A680D}"/>
    <cellStyle name="40% - Accent1 15 2" xfId="1896" xr:uid="{2EA430A7-4395-41BD-946C-AFE56A27C03E}"/>
    <cellStyle name="40% - Accent1 16" xfId="775" xr:uid="{3A388316-DEF4-42F9-ABDC-31C94B0C904F}"/>
    <cellStyle name="40% - Accent1 16 2" xfId="3649" xr:uid="{8C546689-3FB7-4BF2-AA28-878FD13D67F4}"/>
    <cellStyle name="40% - Accent1 16 3" xfId="1897" xr:uid="{56B8371F-8991-45D5-A48A-E9BF4142E737}"/>
    <cellStyle name="40% - Accent1 2" xfId="29" xr:uid="{00000000-0005-0000-0000-00000F000000}"/>
    <cellStyle name="40% - Accent1 2 10" xfId="1899" xr:uid="{86480A7C-E1C2-4DCA-9F07-3CFDD0C0B49A}"/>
    <cellStyle name="40% - Accent1 2 10 2" xfId="3650" xr:uid="{6A79264A-B2E1-4F95-8A50-608018527010}"/>
    <cellStyle name="40% - Accent1 2 11" xfId="1898" xr:uid="{36D8C5C3-5372-4679-8534-708481D2FC72}"/>
    <cellStyle name="40% - Accent1 2 2" xfId="816" xr:uid="{D5E74BFD-9148-4EE4-B593-8994D85408E0}"/>
    <cellStyle name="40% - Accent1 2 2 2" xfId="1901" xr:uid="{B025797B-36E3-402E-9ADE-E1A4953CE618}"/>
    <cellStyle name="40% - Accent1 2 2 3" xfId="1900" xr:uid="{8F13A841-80F0-4185-8F81-CA27761BB17C}"/>
    <cellStyle name="40% - Accent1 2 3" xfId="194" xr:uid="{452896B4-C918-4AB8-BF14-9E16F99BDB5A}"/>
    <cellStyle name="40% - Accent1 2 3 2" xfId="1903" xr:uid="{A080A96A-852D-4AAB-9C5B-434735874BFE}"/>
    <cellStyle name="40% - Accent1 2 3 2 2" xfId="1904" xr:uid="{6B3B05F0-017D-480D-9D42-69C51699D65E}"/>
    <cellStyle name="40% - Accent1 2 3 2 2 2" xfId="1905" xr:uid="{B91EB9F1-4731-472F-A185-2463087BE919}"/>
    <cellStyle name="40% - Accent1 2 3 2 2 2 2" xfId="3653" xr:uid="{0E0F5889-F391-4EE3-AC1A-BD9473F485D1}"/>
    <cellStyle name="40% - Accent1 2 3 2 2 3" xfId="1906" xr:uid="{9103BEF0-10E2-4263-984A-4B7A32DBE347}"/>
    <cellStyle name="40% - Accent1 2 3 2 2 3 2" xfId="3654" xr:uid="{D9687A3F-5000-4E9B-8EE6-AE75B788F56F}"/>
    <cellStyle name="40% - Accent1 2 3 2 2 4" xfId="3652" xr:uid="{B80FDB50-D049-4F56-9D02-7D6EC3490C5F}"/>
    <cellStyle name="40% - Accent1 2 3 2 3" xfId="1907" xr:uid="{3170B846-AD89-4136-B5A9-87F7AD0F4871}"/>
    <cellStyle name="40% - Accent1 2 3 2 3 2" xfId="3655" xr:uid="{CED98CD7-38B2-4FD9-A5CF-79CD275C8D97}"/>
    <cellStyle name="40% - Accent1 2 3 2 4" xfId="1908" xr:uid="{E34EA1D0-8C1B-4B60-AB37-DFA0726464B2}"/>
    <cellStyle name="40% - Accent1 2 3 2 4 2" xfId="3656" xr:uid="{FFFF86AD-D00B-4C8D-97BA-71B89BCF3344}"/>
    <cellStyle name="40% - Accent1 2 3 2 5" xfId="3651" xr:uid="{BC448843-D413-4C7F-8880-5920609EAFC8}"/>
    <cellStyle name="40% - Accent1 2 3 3" xfId="1909" xr:uid="{44EAD870-2599-47B2-A2A4-F639364815D7}"/>
    <cellStyle name="40% - Accent1 2 3 3 2" xfId="1910" xr:uid="{1C040EDD-B425-4C30-BFD7-8E63B9FB4246}"/>
    <cellStyle name="40% - Accent1 2 3 3 2 2" xfId="3658" xr:uid="{13D44BE8-60D4-47BE-8857-2775FD56B172}"/>
    <cellStyle name="40% - Accent1 2 3 3 3" xfId="1911" xr:uid="{E54CBC2C-2AD4-4EC3-A311-FEB4B219178D}"/>
    <cellStyle name="40% - Accent1 2 3 3 3 2" xfId="3659" xr:uid="{FE69E336-18BF-43A3-825B-08A308546969}"/>
    <cellStyle name="40% - Accent1 2 3 3 4" xfId="3657" xr:uid="{1A9DA1F6-7F4E-40D2-94BB-3F94DD0F208E}"/>
    <cellStyle name="40% - Accent1 2 3 4" xfId="1912" xr:uid="{A19C0621-FACD-4BD0-BA0D-8748E83C58E9}"/>
    <cellStyle name="40% - Accent1 2 3 4 2" xfId="3660" xr:uid="{2DE10121-471E-4939-9EE0-CA0176F7C46A}"/>
    <cellStyle name="40% - Accent1 2 3 5" xfId="1913" xr:uid="{F2E18CD7-1C3E-4BC1-8E3E-9D691A8639F0}"/>
    <cellStyle name="40% - Accent1 2 3 5 2" xfId="3661" xr:uid="{7D476EE4-A3FB-47E0-8B2A-67E7F48E3C56}"/>
    <cellStyle name="40% - Accent1 2 3 6" xfId="1902" xr:uid="{C1C7BD5F-745B-450E-B405-AED97CBEB1D0}"/>
    <cellStyle name="40% - Accent1 2 4" xfId="1914" xr:uid="{4640D152-CCD1-455D-AB2A-C5AD7FBE9972}"/>
    <cellStyle name="40% - Accent1 2 4 2" xfId="1915" xr:uid="{CA3323C5-4F20-4893-81CE-0A79F9E910DC}"/>
    <cellStyle name="40% - Accent1 2 4 2 2" xfId="1916" xr:uid="{41AEAB71-E0FE-439B-BC0C-EE7A5B0BA26B}"/>
    <cellStyle name="40% - Accent1 2 4 2 2 2" xfId="3663" xr:uid="{42FDB26B-D0A8-4FC5-B52A-4D7F28905024}"/>
    <cellStyle name="40% - Accent1 2 4 2 3" xfId="1917" xr:uid="{398343A7-F111-4FC7-8960-33ED256C03AD}"/>
    <cellStyle name="40% - Accent1 2 4 2 3 2" xfId="3664" xr:uid="{B5039873-5A15-4CCB-8D9E-B7A3F54258C0}"/>
    <cellStyle name="40% - Accent1 2 4 2 4" xfId="3662" xr:uid="{79BF4B02-17CE-42F2-8137-5C964D5F5708}"/>
    <cellStyle name="40% - Accent1 2 4 3" xfId="1918" xr:uid="{F5E625F3-7F12-47D0-B30E-C689FB5839F0}"/>
    <cellStyle name="40% - Accent1 2 4 3 2" xfId="1919" xr:uid="{C33CF491-F44E-44D2-859E-8F10F18E1531}"/>
    <cellStyle name="40% - Accent1 2 4 3 2 2" xfId="3666" xr:uid="{B54BFB1A-CC74-4DD9-931A-4A55C726E10C}"/>
    <cellStyle name="40% - Accent1 2 4 3 3" xfId="1920" xr:uid="{8F71F01B-F439-4AB9-B41A-275AED5BE3BE}"/>
    <cellStyle name="40% - Accent1 2 4 3 3 2" xfId="3667" xr:uid="{68BE8902-4334-41E1-A88E-01DEB41F4E7D}"/>
    <cellStyle name="40% - Accent1 2 4 3 4" xfId="3665" xr:uid="{FC74B98F-A66D-49A2-992C-57609BA40EA7}"/>
    <cellStyle name="40% - Accent1 2 4 4" xfId="1921" xr:uid="{2DAFB31F-DB3E-4BD0-AFBF-94FB03351240}"/>
    <cellStyle name="40% - Accent1 2 4 4 2" xfId="3668" xr:uid="{C6ABCA66-272C-41B6-823D-95A922E35238}"/>
    <cellStyle name="40% - Accent1 2 4 5" xfId="1922" xr:uid="{A1BE572D-6C99-45A9-A14C-262F947452EB}"/>
    <cellStyle name="40% - Accent1 2 4 5 2" xfId="3669" xr:uid="{B6E47FCB-1713-4110-B20A-48F72A821191}"/>
    <cellStyle name="40% - Accent1 2 5" xfId="1923" xr:uid="{F4A4A73A-A596-4158-8992-8A6B1F9E495D}"/>
    <cellStyle name="40% - Accent1 2 5 2" xfId="1924" xr:uid="{BBF8E2A8-F869-4E88-90E9-44D7C2622882}"/>
    <cellStyle name="40% - Accent1 2 5 2 2" xfId="1925" xr:uid="{B5512C65-2CEC-4A07-9E00-13164A63CFE9}"/>
    <cellStyle name="40% - Accent1 2 5 2 2 2" xfId="3671" xr:uid="{987D7770-C2A4-4BD4-88FE-33FD09C12371}"/>
    <cellStyle name="40% - Accent1 2 5 2 3" xfId="1926" xr:uid="{754FE990-C57C-4FC3-A5B7-F0272E32C91C}"/>
    <cellStyle name="40% - Accent1 2 5 2 3 2" xfId="3672" xr:uid="{8E5B9645-CD03-4539-AE66-26575A5C2E3B}"/>
    <cellStyle name="40% - Accent1 2 5 2 4" xfId="3670" xr:uid="{889EE08E-64EC-4071-97B5-077F9D0C532B}"/>
    <cellStyle name="40% - Accent1 2 5 3" xfId="1927" xr:uid="{A04BE045-66A2-4004-BD91-A12EFEB052DF}"/>
    <cellStyle name="40% - Accent1 2 5 3 2" xfId="3673" xr:uid="{5C923B81-0B20-4F8C-A070-0BFB4A8C52CC}"/>
    <cellStyle name="40% - Accent1 2 5 4" xfId="1928" xr:uid="{E34C2B17-08FE-4905-819E-32B04AC0A1A5}"/>
    <cellStyle name="40% - Accent1 2 5 4 2" xfId="3674" xr:uid="{C3D69701-03D4-4AC5-9E7D-3EB9662CE0A5}"/>
    <cellStyle name="40% - Accent1 2 6" xfId="1929" xr:uid="{8A615FC5-43F4-44F4-AEF0-62E04E024EB7}"/>
    <cellStyle name="40% - Accent1 2 6 2" xfId="1930" xr:uid="{25344157-6F4B-4517-A965-C8EA5FAB1998}"/>
    <cellStyle name="40% - Accent1 2 6 2 2" xfId="3675" xr:uid="{FD03CFCE-8DD3-48B0-A14A-7AC000ABAE1F}"/>
    <cellStyle name="40% - Accent1 2 6 3" xfId="1931" xr:uid="{1EA24969-848A-4609-A2FF-5F057B565430}"/>
    <cellStyle name="40% - Accent1 2 6 3 2" xfId="3676" xr:uid="{C40A265E-6FCA-4FC0-B7BE-039D7995A535}"/>
    <cellStyle name="40% - Accent1 2 7" xfId="1932" xr:uid="{BE0F6C58-06C4-4CB9-8D04-79BDC593C50A}"/>
    <cellStyle name="40% - Accent1 2 7 2" xfId="3677" xr:uid="{E97020E5-DF1A-4F54-B73A-6C5BDBEAB4FE}"/>
    <cellStyle name="40% - Accent1 2 8" xfId="1933" xr:uid="{69D54E9C-B33D-4CAB-8A22-CA7ED7A03378}"/>
    <cellStyle name="40% - Accent1 2 8 2" xfId="3678" xr:uid="{DC40B014-C83A-450B-9D85-96A12AD2A78B}"/>
    <cellStyle name="40% - Accent1 2 9" xfId="1934" xr:uid="{A40F90CE-8349-44EF-93D0-3E01D1929A63}"/>
    <cellStyle name="40% - Accent1 3" xfId="195" xr:uid="{FBDA3C72-C9BF-4515-B12A-B99BEA22797E}"/>
    <cellStyle name="40% - Accent1 3 2" xfId="1936" xr:uid="{F61EA39E-18B3-4255-AF46-690AC7FAEEB3}"/>
    <cellStyle name="40% - Accent1 3 3" xfId="1937" xr:uid="{D04710E2-DD4F-4EE9-98F3-3468F2578F7B}"/>
    <cellStyle name="40% - Accent1 3 4" xfId="1935" xr:uid="{E79919F4-E8E6-4BB6-A97A-6D384BDC84A5}"/>
    <cellStyle name="40% - Accent1 4" xfId="196" xr:uid="{7B5C1FE6-1EB8-4FDE-823F-5809E39BB777}"/>
    <cellStyle name="40% - Accent1 4 2" xfId="1939" xr:uid="{7A57B748-D585-4994-8632-BF97D26C3BD5}"/>
    <cellStyle name="40% - Accent1 4 3" xfId="1938" xr:uid="{AE247352-067A-4028-9513-632293B14934}"/>
    <cellStyle name="40% - Accent1 5" xfId="197" xr:uid="{EA059D40-C3A0-47F2-AA34-92AF78C5112C}"/>
    <cellStyle name="40% - Accent1 5 2" xfId="1940" xr:uid="{4EED3984-3900-40B9-A876-7C128222798C}"/>
    <cellStyle name="40% - Accent1 6" xfId="198" xr:uid="{18438076-76AD-4E68-A52D-25EFD9FD58CB}"/>
    <cellStyle name="40% - Accent1 6 2" xfId="1941" xr:uid="{D608E5C5-D2C8-4527-9DED-6D76C15EFB38}"/>
    <cellStyle name="40% - Accent1 7" xfId="199" xr:uid="{877D8177-7E96-445E-930E-4EAF5ACB4BC6}"/>
    <cellStyle name="40% - Accent1 7 2" xfId="1942" xr:uid="{54ED7FAB-26F6-413E-BC33-085DB1DBB076}"/>
    <cellStyle name="40% - Accent1 8" xfId="200" xr:uid="{45082CB2-B4D3-45AF-8A37-0A1A6BBA137C}"/>
    <cellStyle name="40% - Accent1 8 2" xfId="1943" xr:uid="{9F633D23-98CB-4981-BD0A-7AE63FE239AD}"/>
    <cellStyle name="40% - Accent1 9" xfId="201" xr:uid="{FD82306A-7FF0-4AD6-9E20-BB1960E1B9E5}"/>
    <cellStyle name="40% - Accent1 9 2" xfId="1944" xr:uid="{3359DA2C-7B2F-4639-9C28-BCA086A8E08A}"/>
    <cellStyle name="40% - Accent2" xfId="1534" builtinId="35" customBuiltin="1"/>
    <cellStyle name="40% - Accent2 10" xfId="202" xr:uid="{DC766658-E04E-4781-9B3D-9FCA499DF540}"/>
    <cellStyle name="40% - Accent2 11" xfId="203" xr:uid="{6EE2C881-3B9E-4BFE-8D6B-74F958F42483}"/>
    <cellStyle name="40% - Accent2 12" xfId="204" xr:uid="{3A4FEACD-1098-4C34-8887-ED7EFF12A8C3}"/>
    <cellStyle name="40% - Accent2 13" xfId="205" xr:uid="{78FD4142-783D-47E9-961D-AD9F53A84A47}"/>
    <cellStyle name="40% - Accent2 14" xfId="206" xr:uid="{F3905C11-5C6E-407F-9FE4-C2BE4ED27FC1}"/>
    <cellStyle name="40% - Accent2 15" xfId="207" xr:uid="{275C7196-9270-4E11-819A-71265121EB4A}"/>
    <cellStyle name="40% - Accent2 16" xfId="776" xr:uid="{98D98272-F30D-416F-8B22-8ADB03B6A6FD}"/>
    <cellStyle name="40% - Accent2 16 2" xfId="3679" xr:uid="{6BDB3DD0-E69B-4A1C-A5EE-796219DAE3E8}"/>
    <cellStyle name="40% - Accent2 2" xfId="30" xr:uid="{00000000-0005-0000-0000-000010000000}"/>
    <cellStyle name="40% - Accent2 2 10" xfId="1946" xr:uid="{55CE1DC5-E3C8-492D-B2D1-4101D12DEC37}"/>
    <cellStyle name="40% - Accent2 2 10 2" xfId="3680" xr:uid="{D2A65231-CF5A-46BE-B0CA-EBDD5D2459BA}"/>
    <cellStyle name="40% - Accent2 2 11" xfId="1945" xr:uid="{DF22AF65-3B26-4AB2-96E3-78A7C46A5447}"/>
    <cellStyle name="40% - Accent2 2 2" xfId="820" xr:uid="{C2D10E15-E426-4108-B85B-6C7DE3C1A0B1}"/>
    <cellStyle name="40% - Accent2 2 2 2" xfId="1948" xr:uid="{01767CC5-6E15-496F-96F2-AE52DEC9EE67}"/>
    <cellStyle name="40% - Accent2 2 2 3" xfId="1947" xr:uid="{D575B18E-508A-4B9E-85A9-778A6141856F}"/>
    <cellStyle name="40% - Accent2 2 3" xfId="208" xr:uid="{AE931783-BF8A-406C-9218-F3BDF4370B32}"/>
    <cellStyle name="40% - Accent2 2 3 2" xfId="1950" xr:uid="{F858CE35-E0C8-45CD-BC5A-83D7DC093959}"/>
    <cellStyle name="40% - Accent2 2 3 2 2" xfId="1951" xr:uid="{16BA7821-E058-4A9C-847C-A8D6D17CAA90}"/>
    <cellStyle name="40% - Accent2 2 3 2 2 2" xfId="1952" xr:uid="{55299994-A56F-480C-9F37-00C8B5F00B8D}"/>
    <cellStyle name="40% - Accent2 2 3 2 2 2 2" xfId="3683" xr:uid="{40DBC3A3-78BD-4973-A199-2A8365A07B24}"/>
    <cellStyle name="40% - Accent2 2 3 2 2 3" xfId="1953" xr:uid="{7C48BFB1-8A35-4919-A0AD-1ADFA68A0B1A}"/>
    <cellStyle name="40% - Accent2 2 3 2 2 3 2" xfId="3684" xr:uid="{BA4152D2-3BEF-45D8-8DC4-337992482406}"/>
    <cellStyle name="40% - Accent2 2 3 2 2 4" xfId="3682" xr:uid="{0DDF3175-6D60-49CF-8A1C-523A93A34D9D}"/>
    <cellStyle name="40% - Accent2 2 3 2 3" xfId="1954" xr:uid="{5063C0BB-5471-4BC5-9FBC-BDB6A8675B44}"/>
    <cellStyle name="40% - Accent2 2 3 2 3 2" xfId="3685" xr:uid="{D041DB0A-A8F8-4B59-8734-B1CD8DF413AD}"/>
    <cellStyle name="40% - Accent2 2 3 2 4" xfId="1955" xr:uid="{B7282325-4A79-411F-8E16-1FBA3309E324}"/>
    <cellStyle name="40% - Accent2 2 3 2 4 2" xfId="3686" xr:uid="{C63A88B3-6B6B-4EC3-8F81-94323F4BC600}"/>
    <cellStyle name="40% - Accent2 2 3 2 5" xfId="3681" xr:uid="{5548F1C0-5DA3-436F-8363-50D0A0EADB22}"/>
    <cellStyle name="40% - Accent2 2 3 3" xfId="1956" xr:uid="{458761A3-DEC3-4EF9-8495-012ECFE5A4BA}"/>
    <cellStyle name="40% - Accent2 2 3 3 2" xfId="1957" xr:uid="{56DBA081-C0B9-4E35-B9FF-394AF6CF06E3}"/>
    <cellStyle name="40% - Accent2 2 3 3 2 2" xfId="3688" xr:uid="{8D74475C-DC4D-4B90-903A-587C6697DBE7}"/>
    <cellStyle name="40% - Accent2 2 3 3 3" xfId="1958" xr:uid="{1D0C5AD3-9167-4A4D-B78E-7BC57DB74360}"/>
    <cellStyle name="40% - Accent2 2 3 3 3 2" xfId="3689" xr:uid="{6950C83E-D29E-4539-B480-64F26E9956A5}"/>
    <cellStyle name="40% - Accent2 2 3 3 4" xfId="3687" xr:uid="{ECDA8A52-AEBF-460E-B492-7D36AEC87A8F}"/>
    <cellStyle name="40% - Accent2 2 3 4" xfId="1959" xr:uid="{E7C32934-2E0E-43AE-904E-76BAF674D17C}"/>
    <cellStyle name="40% - Accent2 2 3 4 2" xfId="3690" xr:uid="{AF265C36-CF94-429D-8C22-DD861E66770F}"/>
    <cellStyle name="40% - Accent2 2 3 5" xfId="1960" xr:uid="{D4C117F6-918D-4081-AB1C-7E9CDE7526EA}"/>
    <cellStyle name="40% - Accent2 2 3 5 2" xfId="3691" xr:uid="{91C732E4-2212-4DB8-A56C-212139BCB1F4}"/>
    <cellStyle name="40% - Accent2 2 3 6" xfId="1949" xr:uid="{B9269023-2031-4976-AAB5-8A69F5A9BA77}"/>
    <cellStyle name="40% - Accent2 2 4" xfId="1961" xr:uid="{E9A5AC77-EAAB-482C-97A0-3D12E44B8067}"/>
    <cellStyle name="40% - Accent2 2 4 2" xfId="1962" xr:uid="{C70D498D-CC3D-43D1-9BF8-17D3C321B28E}"/>
    <cellStyle name="40% - Accent2 2 4 2 2" xfId="1963" xr:uid="{639A5555-DC1C-4EDE-A771-F30444E68D9E}"/>
    <cellStyle name="40% - Accent2 2 4 2 2 2" xfId="3693" xr:uid="{10571EAC-52AF-4520-A2CA-0591E8EA06DF}"/>
    <cellStyle name="40% - Accent2 2 4 2 3" xfId="1964" xr:uid="{6910DEEF-035B-4044-AA6A-CA4CFE624C50}"/>
    <cellStyle name="40% - Accent2 2 4 2 3 2" xfId="3694" xr:uid="{4F8D96C7-1C2F-4375-BA3F-412710D1B49C}"/>
    <cellStyle name="40% - Accent2 2 4 2 4" xfId="3692" xr:uid="{A59B2A44-BED5-4A34-8C05-60E362842F19}"/>
    <cellStyle name="40% - Accent2 2 4 3" xfId="1965" xr:uid="{CE9A55F3-080D-44BA-98BE-F263C9B6A570}"/>
    <cellStyle name="40% - Accent2 2 4 3 2" xfId="1966" xr:uid="{5ADB3A77-66FE-4C6E-8D4A-F5C98BBA993C}"/>
    <cellStyle name="40% - Accent2 2 4 3 2 2" xfId="3696" xr:uid="{3BA469D3-BCB7-4956-B91F-A90C5F73877B}"/>
    <cellStyle name="40% - Accent2 2 4 3 3" xfId="1967" xr:uid="{E428C36A-7A5D-4D64-8F8D-19F223C8CD04}"/>
    <cellStyle name="40% - Accent2 2 4 3 3 2" xfId="3697" xr:uid="{1977F1A5-F290-4B5D-AC96-78A0DD4F63F9}"/>
    <cellStyle name="40% - Accent2 2 4 3 4" xfId="3695" xr:uid="{2E2B9DDE-8C88-4E61-86D1-FC2EA9CBBB1F}"/>
    <cellStyle name="40% - Accent2 2 4 4" xfId="1968" xr:uid="{4C0F61DD-85CD-4A4A-97E6-D0D145C0DFB9}"/>
    <cellStyle name="40% - Accent2 2 4 4 2" xfId="3698" xr:uid="{308ADCC3-6F19-4775-8D27-C16047B6E76A}"/>
    <cellStyle name="40% - Accent2 2 4 5" xfId="1969" xr:uid="{756C4BC5-2104-4376-802A-6077D6061C6A}"/>
    <cellStyle name="40% - Accent2 2 4 5 2" xfId="3699" xr:uid="{6F71A02C-6F40-4C44-AE0E-E52615833EFC}"/>
    <cellStyle name="40% - Accent2 2 5" xfId="1970" xr:uid="{18ED71AE-6B3A-458C-BD8C-D86D51568622}"/>
    <cellStyle name="40% - Accent2 2 5 2" xfId="1971" xr:uid="{FD293946-0680-4669-849D-EF63B761BE75}"/>
    <cellStyle name="40% - Accent2 2 5 2 2" xfId="1972" xr:uid="{2C04ECD9-CF35-4C64-84B7-8A0E9FE1EF6B}"/>
    <cellStyle name="40% - Accent2 2 5 2 2 2" xfId="3701" xr:uid="{F7498F1E-1548-47AC-88AE-AFCF342BFB3D}"/>
    <cellStyle name="40% - Accent2 2 5 2 3" xfId="1973" xr:uid="{82F5BB23-36BC-4414-A549-1F7CDD0D297F}"/>
    <cellStyle name="40% - Accent2 2 5 2 3 2" xfId="3702" xr:uid="{7E4C8D81-1A24-4AB8-805E-C7A9DEF7B9AA}"/>
    <cellStyle name="40% - Accent2 2 5 2 4" xfId="3700" xr:uid="{E78A50AD-8FE9-4860-9FA6-E88F2C9E792E}"/>
    <cellStyle name="40% - Accent2 2 5 3" xfId="1974" xr:uid="{9A61F7DB-CAF0-4AF9-B063-F6C2713DB2CA}"/>
    <cellStyle name="40% - Accent2 2 5 3 2" xfId="3703" xr:uid="{73AA1F6B-6489-4DD1-9C9E-8C53976B4305}"/>
    <cellStyle name="40% - Accent2 2 5 4" xfId="1975" xr:uid="{AD8D5F71-D5B3-4EC6-84D0-AE19D3F916C5}"/>
    <cellStyle name="40% - Accent2 2 5 4 2" xfId="3704" xr:uid="{B4F32BDB-10BA-482D-B1AE-A4A16DF44722}"/>
    <cellStyle name="40% - Accent2 2 6" xfId="1976" xr:uid="{907626F5-5EF6-42F0-B3C1-47C6A010983D}"/>
    <cellStyle name="40% - Accent2 2 6 2" xfId="1977" xr:uid="{EB4E3AF3-62BB-4917-9CEF-6E1EF9016C4E}"/>
    <cellStyle name="40% - Accent2 2 6 2 2" xfId="3705" xr:uid="{2F2B7EE9-F2F3-4384-9DEC-C8EC0B9E2655}"/>
    <cellStyle name="40% - Accent2 2 6 3" xfId="1978" xr:uid="{78594652-5E5C-4532-B82E-49782A9CFF75}"/>
    <cellStyle name="40% - Accent2 2 6 3 2" xfId="3706" xr:uid="{1F75AA54-587B-4CDF-87EA-2D4D691A0501}"/>
    <cellStyle name="40% - Accent2 2 7" xfId="1979" xr:uid="{44B6E722-3CCF-4B7F-8B74-CA5F1D788CEF}"/>
    <cellStyle name="40% - Accent2 2 7 2" xfId="3707" xr:uid="{B8C5BBF3-6A17-4D98-AC51-AB5289E7FE4F}"/>
    <cellStyle name="40% - Accent2 2 8" xfId="1980" xr:uid="{99064B0C-F909-4DA5-BE32-B571DB082AC7}"/>
    <cellStyle name="40% - Accent2 2 8 2" xfId="3708" xr:uid="{C7B6EEBE-E2B5-4693-BF20-8D5B9187012D}"/>
    <cellStyle name="40% - Accent2 2 9" xfId="1981" xr:uid="{CB047F06-A90E-454E-AC64-ED4E5A55C216}"/>
    <cellStyle name="40% - Accent2 3" xfId="209" xr:uid="{AE954E18-8794-49A9-9415-299F014F3527}"/>
    <cellStyle name="40% - Accent2 3 2" xfId="1983" xr:uid="{8A6F7FB2-ACB2-479D-A1F8-42628B6D7070}"/>
    <cellStyle name="40% - Accent2 3 3" xfId="1984" xr:uid="{28F0E609-37F4-400E-96C3-5099F0D52174}"/>
    <cellStyle name="40% - Accent2 3 4" xfId="1982" xr:uid="{1C75283B-30B4-44CC-81B8-0F22DA9ABD37}"/>
    <cellStyle name="40% - Accent2 4" xfId="210" xr:uid="{19745F1D-242C-4B9C-B9F3-916AFB931858}"/>
    <cellStyle name="40% - Accent2 4 2" xfId="1986" xr:uid="{52E23492-1AA8-499F-AD2F-7447F18387C6}"/>
    <cellStyle name="40% - Accent2 4 3" xfId="1985" xr:uid="{30819E0D-C4C3-4B3E-AA7E-E7B0E38B7520}"/>
    <cellStyle name="40% - Accent2 5" xfId="211" xr:uid="{09233828-006D-4D7D-9EDF-A94417D6147F}"/>
    <cellStyle name="40% - Accent2 5 2" xfId="1987" xr:uid="{91DC06FD-0749-48BD-84FC-1B51B69B0D10}"/>
    <cellStyle name="40% - Accent2 6" xfId="212" xr:uid="{04B1B4C5-A88C-4470-82AA-4DF8A01568D5}"/>
    <cellStyle name="40% - Accent2 6 2" xfId="1988" xr:uid="{8330618A-336A-4003-BCD7-8D2F4CBDAFFA}"/>
    <cellStyle name="40% - Accent2 7" xfId="213" xr:uid="{231EEF1F-0300-4BE4-85CE-ABBF696D4616}"/>
    <cellStyle name="40% - Accent2 8" xfId="214" xr:uid="{4D602BFD-5C21-4733-931F-D2C7D845F201}"/>
    <cellStyle name="40% - Accent2 9" xfId="215" xr:uid="{202359F1-545B-4030-8153-D7B0A55D1230}"/>
    <cellStyle name="40% - Accent3 10" xfId="216" xr:uid="{5878F044-561C-41C6-9C91-123ABCFDB6F3}"/>
    <cellStyle name="40% - Accent3 10 2" xfId="1989" xr:uid="{3A54B0B0-6946-4A13-BCE4-EDB7371A54AB}"/>
    <cellStyle name="40% - Accent3 11" xfId="217" xr:uid="{0E1C3A02-FACD-48C2-B8F2-CBEDA32FEA63}"/>
    <cellStyle name="40% - Accent3 11 2" xfId="1990" xr:uid="{66BF3C8D-1F52-45C5-BCBA-DBDB5448F81D}"/>
    <cellStyle name="40% - Accent3 12" xfId="218" xr:uid="{205049EA-A559-4F65-9A9F-92C97EDD3397}"/>
    <cellStyle name="40% - Accent3 12 2" xfId="1991" xr:uid="{D5DEF27D-EB9C-492A-882C-8B705C115278}"/>
    <cellStyle name="40% - Accent3 13" xfId="219" xr:uid="{A076CB8B-D8B6-4B16-86C2-8BDE586D8BF9}"/>
    <cellStyle name="40% - Accent3 13 2" xfId="1992" xr:uid="{500BD251-55F7-45A1-A5F5-1A4DF25DC862}"/>
    <cellStyle name="40% - Accent3 14" xfId="220" xr:uid="{6E255168-72C6-47AA-AAE6-7EC8F79CB76F}"/>
    <cellStyle name="40% - Accent3 14 2" xfId="1993" xr:uid="{3025D2BA-7082-4151-B86C-521950D3FDE9}"/>
    <cellStyle name="40% - Accent3 15" xfId="221" xr:uid="{3933DF1D-A360-4D2B-AE67-695AA53DA308}"/>
    <cellStyle name="40% - Accent3 15 2" xfId="1994" xr:uid="{B4570298-6274-4696-B6DA-14EA21222C18}"/>
    <cellStyle name="40% - Accent3 16" xfId="777" xr:uid="{D2E2E13A-FC2E-4B8B-A8C3-A662CCA596DB}"/>
    <cellStyle name="40% - Accent3 16 2" xfId="3709" xr:uid="{5A3953D6-6CAE-45C6-AAA9-E6E5CFD4CDA9}"/>
    <cellStyle name="40% - Accent3 16 3" xfId="1995" xr:uid="{37799C27-F8F3-4E61-8D00-6CD0D511746B}"/>
    <cellStyle name="40% - Accent3 2" xfId="31" xr:uid="{00000000-0005-0000-0000-000011000000}"/>
    <cellStyle name="40% - Accent3 2 10" xfId="1997" xr:uid="{D00F901B-E0C2-46D6-9226-DFCB595A283B}"/>
    <cellStyle name="40% - Accent3 2 10 2" xfId="3710" xr:uid="{460021A6-73BD-4A2E-B91A-1C0DD7F68988}"/>
    <cellStyle name="40% - Accent3 2 11" xfId="1998" xr:uid="{94FD2913-676B-4F16-BC8F-2A22F7B7887B}"/>
    <cellStyle name="40% - Accent3 2 12" xfId="1996" xr:uid="{BB1D70A6-715C-4618-99FF-2135BA8D4E6E}"/>
    <cellStyle name="40% - Accent3 2 2" xfId="824" xr:uid="{3FFE699D-FF22-4CD8-8F49-961EC3463774}"/>
    <cellStyle name="40% - Accent3 2 2 2" xfId="2000" xr:uid="{4D5274EE-0DE3-4CF4-9C8B-E7D5ABA504C3}"/>
    <cellStyle name="40% - Accent3 2 2 3" xfId="1999" xr:uid="{802D68EE-CECE-49C6-BA93-692489722C8D}"/>
    <cellStyle name="40% - Accent3 2 3" xfId="222" xr:uid="{CA5F1453-1410-43C5-A45C-F86291F2E44F}"/>
    <cellStyle name="40% - Accent3 2 3 2" xfId="2002" xr:uid="{2A69F6E4-9EA6-4765-A7B7-E2A89F76D0A7}"/>
    <cellStyle name="40% - Accent3 2 3 2 2" xfId="2003" xr:uid="{1FA4A59E-B830-4381-9571-A7C054FFAADF}"/>
    <cellStyle name="40% - Accent3 2 3 2 2 2" xfId="2004" xr:uid="{B30A508E-40FF-43F4-AA97-9791AC158F81}"/>
    <cellStyle name="40% - Accent3 2 3 2 2 2 2" xfId="3713" xr:uid="{3AD458A5-6E75-4DCD-953A-2C4A128A52B0}"/>
    <cellStyle name="40% - Accent3 2 3 2 2 3" xfId="2005" xr:uid="{D1E7AE94-E507-4EE2-A889-D7E6A7F53292}"/>
    <cellStyle name="40% - Accent3 2 3 2 2 3 2" xfId="3714" xr:uid="{8A34C378-A4C6-4D4F-A040-217E7420BC3B}"/>
    <cellStyle name="40% - Accent3 2 3 2 2 4" xfId="3712" xr:uid="{04CDACDB-989B-4C86-BED0-CBA3D190ECFD}"/>
    <cellStyle name="40% - Accent3 2 3 2 3" xfId="2006" xr:uid="{DCAAA172-41A2-4E09-BA8B-511A3C0F1B2F}"/>
    <cellStyle name="40% - Accent3 2 3 2 3 2" xfId="3715" xr:uid="{174B796D-50BA-44A1-8824-C676C4EC14A3}"/>
    <cellStyle name="40% - Accent3 2 3 2 4" xfId="2007" xr:uid="{899B5D8E-66BA-4361-BB21-E2CB34449B33}"/>
    <cellStyle name="40% - Accent3 2 3 2 4 2" xfId="3716" xr:uid="{BED3417E-1734-4BBE-A86F-A51FECF1F59E}"/>
    <cellStyle name="40% - Accent3 2 3 2 5" xfId="3711" xr:uid="{FD958771-3BD6-47D3-A294-10253C965ED9}"/>
    <cellStyle name="40% - Accent3 2 3 3" xfId="2008" xr:uid="{CBDBA5B6-B46A-496E-8B2B-BCB7480CE0C3}"/>
    <cellStyle name="40% - Accent3 2 3 3 2" xfId="2009" xr:uid="{6C75E895-F0E2-4D3C-80F1-827F1FAE06FB}"/>
    <cellStyle name="40% - Accent3 2 3 3 2 2" xfId="3718" xr:uid="{C117B6C2-BC96-4BF4-A6CD-4ED721195278}"/>
    <cellStyle name="40% - Accent3 2 3 3 3" xfId="2010" xr:uid="{743AB885-A720-4049-8DCA-966970608ED8}"/>
    <cellStyle name="40% - Accent3 2 3 3 3 2" xfId="3719" xr:uid="{C044E6DF-4900-49CD-A2AB-D63F63CC2D5C}"/>
    <cellStyle name="40% - Accent3 2 3 3 4" xfId="3717" xr:uid="{8C1C07EA-4B05-4367-A1AA-697884657B0C}"/>
    <cellStyle name="40% - Accent3 2 3 4" xfId="2011" xr:uid="{AB1A0E71-CD19-4F15-A5A5-D4BA3FC2C046}"/>
    <cellStyle name="40% - Accent3 2 3 4 2" xfId="3720" xr:uid="{4C03B405-CAF8-4FEA-9A7F-8645288AD614}"/>
    <cellStyle name="40% - Accent3 2 3 5" xfId="2012" xr:uid="{2A7294F4-2D2E-42F2-9449-EA20E926B7D7}"/>
    <cellStyle name="40% - Accent3 2 3 5 2" xfId="3721" xr:uid="{50EB7BD0-0EC1-4ADC-B958-BFA8DF42FEA7}"/>
    <cellStyle name="40% - Accent3 2 3 6" xfId="2001" xr:uid="{D147AAEB-9EBC-48EE-A212-71E57CF7B015}"/>
    <cellStyle name="40% - Accent3 2 4" xfId="2013" xr:uid="{A366DE42-61DF-4D3A-B2CE-2D67562EF71B}"/>
    <cellStyle name="40% - Accent3 2 4 2" xfId="2014" xr:uid="{929263FC-21D9-4C65-9CE5-D54A972599EF}"/>
    <cellStyle name="40% - Accent3 2 4 2 2" xfId="2015" xr:uid="{686E31D0-F0E1-4E64-BB32-ACDC30AEFCAE}"/>
    <cellStyle name="40% - Accent3 2 4 2 2 2" xfId="3723" xr:uid="{740F24C3-2912-463A-894A-D3392C9A05F1}"/>
    <cellStyle name="40% - Accent3 2 4 2 3" xfId="2016" xr:uid="{DC8215F8-107C-4582-BC68-A85AD5A78D11}"/>
    <cellStyle name="40% - Accent3 2 4 2 3 2" xfId="3724" xr:uid="{D95B1E75-6FF7-4EED-8E74-B7E06D438B9D}"/>
    <cellStyle name="40% - Accent3 2 4 2 4" xfId="3722" xr:uid="{BE02F784-BEE2-4076-8437-E3DC51DD2059}"/>
    <cellStyle name="40% - Accent3 2 4 3" xfId="2017" xr:uid="{29CEB846-4E32-4DA5-A2F4-B0FC2575C042}"/>
    <cellStyle name="40% - Accent3 2 4 3 2" xfId="2018" xr:uid="{7CAB87C8-D6FC-4DAE-8E40-7374620105ED}"/>
    <cellStyle name="40% - Accent3 2 4 3 2 2" xfId="3726" xr:uid="{3E26CF52-BBE8-4804-BED2-FCAFF6B3AAA0}"/>
    <cellStyle name="40% - Accent3 2 4 3 3" xfId="2019" xr:uid="{CE4CB7C4-9006-4436-8557-C566FD10ED11}"/>
    <cellStyle name="40% - Accent3 2 4 3 3 2" xfId="3727" xr:uid="{9DBBE177-543B-4514-9422-91819CF7D88E}"/>
    <cellStyle name="40% - Accent3 2 4 3 4" xfId="3725" xr:uid="{4C4022FB-C433-4300-8193-D313EBFE2FF9}"/>
    <cellStyle name="40% - Accent3 2 4 4" xfId="2020" xr:uid="{F4B37CD9-F64F-4BFC-B335-385478F232AD}"/>
    <cellStyle name="40% - Accent3 2 4 4 2" xfId="3728" xr:uid="{6C83ECCA-841F-4FCB-8B4D-122313F56C32}"/>
    <cellStyle name="40% - Accent3 2 4 5" xfId="2021" xr:uid="{D2BC9F94-03C1-4057-A3F0-395D174A32FF}"/>
    <cellStyle name="40% - Accent3 2 4 5 2" xfId="3729" xr:uid="{3EEB0144-CA22-48E3-A96C-DD6FED702344}"/>
    <cellStyle name="40% - Accent3 2 5" xfId="2022" xr:uid="{70A8C382-EA5B-414B-A104-2856BF8AC1E0}"/>
    <cellStyle name="40% - Accent3 2 5 2" xfId="2023" xr:uid="{DA00DAD4-A500-44A9-8A72-0184BC2BE7EF}"/>
    <cellStyle name="40% - Accent3 2 5 2 2" xfId="2024" xr:uid="{F976E941-87EA-4DB2-A5CF-DAA7CD0127AC}"/>
    <cellStyle name="40% - Accent3 2 5 2 2 2" xfId="3731" xr:uid="{58E9EFA5-582E-4B94-9B93-89F88AB42BC1}"/>
    <cellStyle name="40% - Accent3 2 5 2 3" xfId="2025" xr:uid="{051D46E8-9F85-4906-9CC6-F4EAEDF9C06B}"/>
    <cellStyle name="40% - Accent3 2 5 2 3 2" xfId="3732" xr:uid="{78C6F6E8-2751-4722-9B3F-1653DF883C7D}"/>
    <cellStyle name="40% - Accent3 2 5 2 4" xfId="3730" xr:uid="{50B91CAB-D85F-418F-A0C6-C88AEAE18992}"/>
    <cellStyle name="40% - Accent3 2 5 3" xfId="2026" xr:uid="{174003D4-BAA0-4E53-B4F5-3F260A6D3C1B}"/>
    <cellStyle name="40% - Accent3 2 5 3 2" xfId="3733" xr:uid="{8A19FE6F-CA5D-4EA9-8FD4-647BA5869E84}"/>
    <cellStyle name="40% - Accent3 2 5 4" xfId="2027" xr:uid="{931EA761-CC49-4041-8A56-37F0942EA0B7}"/>
    <cellStyle name="40% - Accent3 2 5 4 2" xfId="3734" xr:uid="{7B0D7A05-F2E1-4F71-900D-47EA6C5B30D9}"/>
    <cellStyle name="40% - Accent3 2 6" xfId="2028" xr:uid="{CD8FAB58-8D64-4C8C-8FAE-88101AD817A8}"/>
    <cellStyle name="40% - Accent3 2 6 2" xfId="2029" xr:uid="{D44C8D20-BB6A-462C-A5CF-A959B1AA7FC1}"/>
    <cellStyle name="40% - Accent3 2 6 2 2" xfId="3735" xr:uid="{A41DDF43-5E86-4339-9C5E-746EC995B49E}"/>
    <cellStyle name="40% - Accent3 2 6 3" xfId="2030" xr:uid="{B836BD73-7519-4873-8365-5411CC2E02D8}"/>
    <cellStyle name="40% - Accent3 2 6 3 2" xfId="3736" xr:uid="{3A3E4FD2-79B3-41C2-B6B6-823E8F6AA2D0}"/>
    <cellStyle name="40% - Accent3 2 7" xfId="2031" xr:uid="{7B5CE63D-54FB-4F3D-9836-24D2B5FDD5B6}"/>
    <cellStyle name="40% - Accent3 2 7 2" xfId="3737" xr:uid="{2EEA7EA9-8507-4048-8901-5247A695738D}"/>
    <cellStyle name="40% - Accent3 2 8" xfId="2032" xr:uid="{965A8A9F-03AD-4D6C-A9A3-5F7B09542DAC}"/>
    <cellStyle name="40% - Accent3 2 8 2" xfId="3738" xr:uid="{229BCF5D-CB50-4323-A736-3841CADF427D}"/>
    <cellStyle name="40% - Accent3 2 9" xfId="2033" xr:uid="{58CFDDC1-C52B-402B-B053-440B3635A651}"/>
    <cellStyle name="40% - Accent3 3" xfId="223" xr:uid="{00545917-E985-4949-A135-C0069F2F5964}"/>
    <cellStyle name="40% - Accent3 3 2" xfId="2035" xr:uid="{D3292BCD-7EEA-4646-AB51-AA519D716961}"/>
    <cellStyle name="40% - Accent3 3 3" xfId="2036" xr:uid="{E6AEE4DB-A453-469E-945E-088CF1E6A015}"/>
    <cellStyle name="40% - Accent3 3 4" xfId="2034" xr:uid="{3A27130D-9EEF-4256-94C0-0626147F47EF}"/>
    <cellStyle name="40% - Accent3 4" xfId="224" xr:uid="{373FD863-FF50-420B-A6A3-4C553869201B}"/>
    <cellStyle name="40% - Accent3 4 2" xfId="2038" xr:uid="{5984417B-2B3B-4831-9263-B70C04CB71D4}"/>
    <cellStyle name="40% - Accent3 4 3" xfId="2037" xr:uid="{71018042-2787-4E0D-94B6-282CDA664D2B}"/>
    <cellStyle name="40% - Accent3 5" xfId="225" xr:uid="{7B0301B7-EBBE-4B25-9875-AB0F581B3909}"/>
    <cellStyle name="40% - Accent3 5 2" xfId="2039" xr:uid="{49EB427D-B831-4396-96D4-0F96B05A925C}"/>
    <cellStyle name="40% - Accent3 6" xfId="226" xr:uid="{C97DF1CF-8857-464C-BF5B-4571AF10A22A}"/>
    <cellStyle name="40% - Accent3 6 2" xfId="2040" xr:uid="{8FD4A198-38C6-4F37-BCA5-3612DB1D6030}"/>
    <cellStyle name="40% - Accent3 7" xfId="227" xr:uid="{9ED2E067-CF4B-41D8-8695-210DD1ED4E22}"/>
    <cellStyle name="40% - Accent3 7 2" xfId="2041" xr:uid="{A5D3AE56-DEA7-4282-BCF5-DD5C8151CC7A}"/>
    <cellStyle name="40% - Accent3 8" xfId="228" xr:uid="{D9516C01-C1C0-4BEA-AF36-6AC586D99DD9}"/>
    <cellStyle name="40% - Accent3 8 2" xfId="2042" xr:uid="{FE972F42-377A-4BFE-B9A7-2F3A4EFED4EF}"/>
    <cellStyle name="40% - Accent3 9" xfId="229" xr:uid="{1557B7B0-3521-4375-A1F2-1FCE64DA907E}"/>
    <cellStyle name="40% - Accent3 9 2" xfId="2043" xr:uid="{A59EAF34-790B-473A-A297-35304E767E50}"/>
    <cellStyle name="40% - Accent4 10" xfId="230" xr:uid="{FCC8DAE6-7C6C-4C69-83C0-E6494C8B087E}"/>
    <cellStyle name="40% - Accent4 10 2" xfId="2044" xr:uid="{FAF4A20C-2318-4CF6-B571-DAF7714033A8}"/>
    <cellStyle name="40% - Accent4 11" xfId="231" xr:uid="{710562A4-BDAA-474B-8C7A-E4207F04BDF2}"/>
    <cellStyle name="40% - Accent4 11 2" xfId="2045" xr:uid="{905A32E0-9C92-492E-8305-F0106DCE28A8}"/>
    <cellStyle name="40% - Accent4 12" xfId="232" xr:uid="{A8FC7048-3047-4266-997A-9AC419A602D4}"/>
    <cellStyle name="40% - Accent4 12 2" xfId="2046" xr:uid="{78F2C15B-DC86-466E-B92D-3654ED447C43}"/>
    <cellStyle name="40% - Accent4 13" xfId="233" xr:uid="{2840B729-B5EE-4D9B-BDD5-DA990CC2D323}"/>
    <cellStyle name="40% - Accent4 13 2" xfId="2047" xr:uid="{B35AA0BE-70F0-46B3-AB67-0ADD06549D38}"/>
    <cellStyle name="40% - Accent4 14" xfId="234" xr:uid="{E21DA2E5-CA4F-4300-8540-BD274395AB98}"/>
    <cellStyle name="40% - Accent4 14 2" xfId="2048" xr:uid="{93AEF313-4BBE-4C76-A0A8-2E437D0BBEC1}"/>
    <cellStyle name="40% - Accent4 15" xfId="235" xr:uid="{5F076097-3A67-4408-A0B3-27E99AED263A}"/>
    <cellStyle name="40% - Accent4 15 2" xfId="2049" xr:uid="{B1D1DE2E-F4AA-420A-9F06-1BF64ECB5933}"/>
    <cellStyle name="40% - Accent4 16" xfId="778" xr:uid="{9C7A0D89-12CC-4951-A852-99B7293D9A6E}"/>
    <cellStyle name="40% - Accent4 16 2" xfId="3739" xr:uid="{2A0D90DB-0751-4BD4-85BC-769555C7E69A}"/>
    <cellStyle name="40% - Accent4 16 3" xfId="2050" xr:uid="{5C6F1BCA-FD14-4C15-A658-A9578A457C64}"/>
    <cellStyle name="40% - Accent4 2" xfId="32" xr:uid="{00000000-0005-0000-0000-000012000000}"/>
    <cellStyle name="40% - Accent4 2 10" xfId="2052" xr:uid="{93623DE7-BBB7-4AD4-AE96-879753B90502}"/>
    <cellStyle name="40% - Accent4 2 10 2" xfId="3740" xr:uid="{26715A9A-B8D4-4E6B-8F3E-F1038531F88C}"/>
    <cellStyle name="40% - Accent4 2 11" xfId="2051" xr:uid="{0B4A0839-1B4F-4E14-A554-0E7BC0DF9376}"/>
    <cellStyle name="40% - Accent4 2 2" xfId="828" xr:uid="{DE96DD59-C572-4829-9421-70ACC85D81E7}"/>
    <cellStyle name="40% - Accent4 2 2 2" xfId="2054" xr:uid="{21AC0873-5CD4-43B3-AAB6-75C062135791}"/>
    <cellStyle name="40% - Accent4 2 2 3" xfId="2053" xr:uid="{9C7EAE82-D531-4B78-8E2A-A1C184AC3A1F}"/>
    <cellStyle name="40% - Accent4 2 3" xfId="236" xr:uid="{5FB646AB-A516-4BDF-BFE6-9741474BEB55}"/>
    <cellStyle name="40% - Accent4 2 3 2" xfId="2056" xr:uid="{72C963B0-EE91-409B-86D5-12D4D2CD5C11}"/>
    <cellStyle name="40% - Accent4 2 3 2 2" xfId="2057" xr:uid="{296312BF-A211-4851-9811-0E1852F4564C}"/>
    <cellStyle name="40% - Accent4 2 3 2 2 2" xfId="2058" xr:uid="{7432AB94-FDAF-4926-B35C-4AE40C20769A}"/>
    <cellStyle name="40% - Accent4 2 3 2 2 2 2" xfId="3743" xr:uid="{9AE7905B-5E91-4CA7-B42F-A49B43BBF2F8}"/>
    <cellStyle name="40% - Accent4 2 3 2 2 3" xfId="2059" xr:uid="{FCE3F4DA-0265-4511-84B0-EB8375A63F05}"/>
    <cellStyle name="40% - Accent4 2 3 2 2 3 2" xfId="3744" xr:uid="{98F38946-4D76-435B-BB51-B1700CD4558C}"/>
    <cellStyle name="40% - Accent4 2 3 2 2 4" xfId="3742" xr:uid="{087B30A5-C021-47F3-8662-B024940A2166}"/>
    <cellStyle name="40% - Accent4 2 3 2 3" xfId="2060" xr:uid="{95318B9C-7990-429A-B942-354F8DD6D449}"/>
    <cellStyle name="40% - Accent4 2 3 2 3 2" xfId="3745" xr:uid="{F99E4D89-C9CE-4BDF-B40B-3D4F3DB9A098}"/>
    <cellStyle name="40% - Accent4 2 3 2 4" xfId="2061" xr:uid="{3C217DFE-8323-49AA-A4C8-226240A67805}"/>
    <cellStyle name="40% - Accent4 2 3 2 4 2" xfId="3746" xr:uid="{2B0078EE-8621-4AF7-A8AA-EA524E2ADE83}"/>
    <cellStyle name="40% - Accent4 2 3 2 5" xfId="3741" xr:uid="{D099688D-DC61-470E-81AC-F23914750CEE}"/>
    <cellStyle name="40% - Accent4 2 3 3" xfId="2062" xr:uid="{1701538C-715C-4609-817A-A088F0D352A8}"/>
    <cellStyle name="40% - Accent4 2 3 3 2" xfId="2063" xr:uid="{112BFCDF-D600-44F5-91FC-7E7FD844ED3E}"/>
    <cellStyle name="40% - Accent4 2 3 3 2 2" xfId="3748" xr:uid="{82C8302C-EA20-44AC-A83F-ECCDE0C3D5E9}"/>
    <cellStyle name="40% - Accent4 2 3 3 3" xfId="2064" xr:uid="{788E9B13-2F56-4866-8196-D1D7013901DF}"/>
    <cellStyle name="40% - Accent4 2 3 3 3 2" xfId="3749" xr:uid="{08337E7F-F951-41B7-954D-D0DB39498EE5}"/>
    <cellStyle name="40% - Accent4 2 3 3 4" xfId="3747" xr:uid="{3783D3CE-140B-44FD-8CE7-D7050D9DA6D2}"/>
    <cellStyle name="40% - Accent4 2 3 4" xfId="2065" xr:uid="{65BA9CA4-A69C-40F7-8C18-B6F8DE79A9AE}"/>
    <cellStyle name="40% - Accent4 2 3 4 2" xfId="3750" xr:uid="{9013C3FD-983D-49AE-B711-CA1E01729A53}"/>
    <cellStyle name="40% - Accent4 2 3 5" xfId="2066" xr:uid="{FC4D5125-58E4-45DF-95CA-EFB08B1674A0}"/>
    <cellStyle name="40% - Accent4 2 3 5 2" xfId="3751" xr:uid="{5BBFB98A-610A-4CE9-8A54-223A0ECB3F35}"/>
    <cellStyle name="40% - Accent4 2 3 6" xfId="2055" xr:uid="{CE157EDA-12AD-4A12-8C29-856645CBF50C}"/>
    <cellStyle name="40% - Accent4 2 4" xfId="2067" xr:uid="{A888E0A9-8920-4605-94A7-E498D684AE58}"/>
    <cellStyle name="40% - Accent4 2 4 2" xfId="2068" xr:uid="{C1158CE6-45BE-440F-8187-5B769B0FCCF2}"/>
    <cellStyle name="40% - Accent4 2 4 2 2" xfId="2069" xr:uid="{D2B0A86E-FA71-4922-943C-5C4E88E6307F}"/>
    <cellStyle name="40% - Accent4 2 4 2 2 2" xfId="3753" xr:uid="{71AC3BA3-1A8E-4356-9E99-CDF5A708CCC3}"/>
    <cellStyle name="40% - Accent4 2 4 2 3" xfId="2070" xr:uid="{C6B84DE6-65C7-494F-9718-043A7C083C8C}"/>
    <cellStyle name="40% - Accent4 2 4 2 3 2" xfId="3754" xr:uid="{9539DA44-D7FB-4C16-986B-85761B25A6F4}"/>
    <cellStyle name="40% - Accent4 2 4 2 4" xfId="3752" xr:uid="{3FF21211-61F0-46E2-B4B5-5A781C8F71F9}"/>
    <cellStyle name="40% - Accent4 2 4 3" xfId="2071" xr:uid="{A60BCECF-504E-4041-802E-4989D5F7FCDA}"/>
    <cellStyle name="40% - Accent4 2 4 3 2" xfId="2072" xr:uid="{1D8B7DB5-D8FF-4FAA-AFCF-84AB05D12C8E}"/>
    <cellStyle name="40% - Accent4 2 4 3 2 2" xfId="3756" xr:uid="{024A3B4E-26F5-482A-82FD-97A37C77784D}"/>
    <cellStyle name="40% - Accent4 2 4 3 3" xfId="2073" xr:uid="{41887F75-5C97-4067-A744-BAE683FAC958}"/>
    <cellStyle name="40% - Accent4 2 4 3 3 2" xfId="3757" xr:uid="{2FC2BEFC-D4FE-44B1-878C-2FE7320BF974}"/>
    <cellStyle name="40% - Accent4 2 4 3 4" xfId="3755" xr:uid="{AB0AC81A-5F8E-4E41-8917-467A0654086A}"/>
    <cellStyle name="40% - Accent4 2 4 4" xfId="2074" xr:uid="{936A8B07-BECA-4851-B088-D61C832D7B4D}"/>
    <cellStyle name="40% - Accent4 2 4 4 2" xfId="3758" xr:uid="{F47015C4-2096-4811-9511-64FF07B476DE}"/>
    <cellStyle name="40% - Accent4 2 4 5" xfId="2075" xr:uid="{FA48CBC1-1D6C-4FBE-AE07-430F0E339F35}"/>
    <cellStyle name="40% - Accent4 2 4 5 2" xfId="3759" xr:uid="{8899106F-2752-4BA1-9354-8342DD9E9ECD}"/>
    <cellStyle name="40% - Accent4 2 5" xfId="2076" xr:uid="{CACB2A7E-3C71-4DEB-AE5D-7EC52E3DBE32}"/>
    <cellStyle name="40% - Accent4 2 5 2" xfId="2077" xr:uid="{140FE7B3-3B50-443D-99C6-D320C57A6D0E}"/>
    <cellStyle name="40% - Accent4 2 5 2 2" xfId="2078" xr:uid="{A8A0E3EC-6ED5-4920-8538-499347409AF3}"/>
    <cellStyle name="40% - Accent4 2 5 2 2 2" xfId="3761" xr:uid="{01E029B4-0E6F-447A-B4D7-92C31B7AF7DB}"/>
    <cellStyle name="40% - Accent4 2 5 2 3" xfId="2079" xr:uid="{7F1337AD-0170-4149-B47F-4D68A38D389B}"/>
    <cellStyle name="40% - Accent4 2 5 2 3 2" xfId="3762" xr:uid="{F2FB172E-ED6F-4990-8298-64C05D3F7026}"/>
    <cellStyle name="40% - Accent4 2 5 2 4" xfId="3760" xr:uid="{8BB1CB6B-5FFD-4A2B-8CD1-83F9873EF4E9}"/>
    <cellStyle name="40% - Accent4 2 5 3" xfId="2080" xr:uid="{A5B38F77-B285-4EA3-B837-67432839A33A}"/>
    <cellStyle name="40% - Accent4 2 5 3 2" xfId="3763" xr:uid="{4A518B31-D2FB-4C45-A86B-F192C7C389AC}"/>
    <cellStyle name="40% - Accent4 2 5 4" xfId="2081" xr:uid="{53857701-6A92-4F16-807E-33F5E837FE97}"/>
    <cellStyle name="40% - Accent4 2 5 4 2" xfId="3764" xr:uid="{483A6F10-7C23-4B00-ADD0-22427A5C2DC0}"/>
    <cellStyle name="40% - Accent4 2 6" xfId="2082" xr:uid="{C36BE1B4-5525-4AB1-A108-93FB012F8489}"/>
    <cellStyle name="40% - Accent4 2 6 2" xfId="2083" xr:uid="{B07FBBF6-C90A-4AFF-99E4-6037590FD6AD}"/>
    <cellStyle name="40% - Accent4 2 6 2 2" xfId="3765" xr:uid="{E64D7367-431A-425A-A9DE-90FEA2687698}"/>
    <cellStyle name="40% - Accent4 2 6 3" xfId="2084" xr:uid="{7F1E6AF1-F888-44D8-B05A-ABD63ED1FFF4}"/>
    <cellStyle name="40% - Accent4 2 6 3 2" xfId="3766" xr:uid="{689CC651-9306-4544-A286-47BDFBF40E09}"/>
    <cellStyle name="40% - Accent4 2 7" xfId="2085" xr:uid="{3D647791-CBEB-4FA4-A288-5FB3276DBD15}"/>
    <cellStyle name="40% - Accent4 2 7 2" xfId="3767" xr:uid="{E10F6D34-28AD-4B9B-A5E4-CD830537AE49}"/>
    <cellStyle name="40% - Accent4 2 8" xfId="2086" xr:uid="{FC294B26-EFD4-418E-8A34-51BCFB7766BD}"/>
    <cellStyle name="40% - Accent4 2 8 2" xfId="3768" xr:uid="{EB5FBEEB-2433-47B8-A218-A2BA5786752E}"/>
    <cellStyle name="40% - Accent4 2 9" xfId="2087" xr:uid="{19C2088F-FD16-402C-9BBA-37C46407FB4E}"/>
    <cellStyle name="40% - Accent4 3" xfId="237" xr:uid="{447B0CD2-53AC-46E0-9B9A-0E0BB08CFE6A}"/>
    <cellStyle name="40% - Accent4 3 2" xfId="2089" xr:uid="{598D064B-17F5-4595-BF27-C975228F7835}"/>
    <cellStyle name="40% - Accent4 3 3" xfId="2090" xr:uid="{371AAAAC-D6CD-4422-B9B2-7BF627B20B5D}"/>
    <cellStyle name="40% - Accent4 3 4" xfId="2088" xr:uid="{FB93E774-62A5-4CF6-B351-0343A84C04CC}"/>
    <cellStyle name="40% - Accent4 4" xfId="238" xr:uid="{3B7BF122-F8C8-49C7-B305-63AE385C82DE}"/>
    <cellStyle name="40% - Accent4 4 2" xfId="2092" xr:uid="{10975047-F4BF-42B3-880B-43B688D09AA4}"/>
    <cellStyle name="40% - Accent4 4 3" xfId="2091" xr:uid="{386548C9-BC2E-4D38-9D31-9ECE4240F336}"/>
    <cellStyle name="40% - Accent4 5" xfId="239" xr:uid="{C4F3B33C-40F7-4211-86F9-2A5435ABE83C}"/>
    <cellStyle name="40% - Accent4 5 2" xfId="2093" xr:uid="{8F815776-A57C-4100-B54B-CCED789C680C}"/>
    <cellStyle name="40% - Accent4 6" xfId="240" xr:uid="{3C1C6561-A7F6-422A-B8D6-2AE50DA1EF28}"/>
    <cellStyle name="40% - Accent4 6 2" xfId="2094" xr:uid="{693FC3CC-6BB8-4D30-B5F5-5DED94413B50}"/>
    <cellStyle name="40% - Accent4 7" xfId="241" xr:uid="{9F58035A-5FDA-42DA-AD9E-4290B130CD8D}"/>
    <cellStyle name="40% - Accent4 7 2" xfId="2095" xr:uid="{611DC8B3-E8FC-4B80-9A60-EBE973A956D7}"/>
    <cellStyle name="40% - Accent4 8" xfId="242" xr:uid="{F8347329-2424-479F-B0FB-36BB9B9677F2}"/>
    <cellStyle name="40% - Accent4 8 2" xfId="2096" xr:uid="{2674857D-C30A-4655-8A65-E87C5F225113}"/>
    <cellStyle name="40% - Accent4 9" xfId="243" xr:uid="{A7A92B1F-77C3-466D-ADF9-21AFB314A7BB}"/>
    <cellStyle name="40% - Accent4 9 2" xfId="2097" xr:uid="{091ACB75-149A-4DEE-B715-672D860DCFA2}"/>
    <cellStyle name="40% - Accent5 10" xfId="244" xr:uid="{81D1D75A-6C36-43A8-9C12-2A10964CFFB6}"/>
    <cellStyle name="40% - Accent5 11" xfId="245" xr:uid="{AB6006B8-9245-460E-9CFC-248A22873C75}"/>
    <cellStyle name="40% - Accent5 12" xfId="246" xr:uid="{39A08134-1E5A-4F3F-9E4C-749CA259A973}"/>
    <cellStyle name="40% - Accent5 13" xfId="247" xr:uid="{D157AAF2-DB8C-469C-BDED-CF9D6A27508D}"/>
    <cellStyle name="40% - Accent5 14" xfId="248" xr:uid="{E27E1984-D386-4E38-A113-807A7FC56898}"/>
    <cellStyle name="40% - Accent5 15" xfId="249" xr:uid="{36634722-E327-4BC0-9113-C77D84A48DC0}"/>
    <cellStyle name="40% - Accent5 16" xfId="779" xr:uid="{E29A45F4-D81A-4E2B-8C48-738596DD8264}"/>
    <cellStyle name="40% - Accent5 2" xfId="33" xr:uid="{00000000-0005-0000-0000-000013000000}"/>
    <cellStyle name="40% - Accent5 2 10" xfId="2099" xr:uid="{E3BC79CB-D67A-4186-9D5D-123F9B22EFA8}"/>
    <cellStyle name="40% - Accent5 2 10 2" xfId="3769" xr:uid="{A34932C4-7FC5-4964-85D9-27D0E0A850AB}"/>
    <cellStyle name="40% - Accent5 2 11" xfId="2098" xr:uid="{4A4AA9AE-EBAB-4754-BDA3-06309DBAC371}"/>
    <cellStyle name="40% - Accent5 2 2" xfId="832" xr:uid="{3A0664EE-7C38-43B4-B8FD-5C6C0FC3BDE3}"/>
    <cellStyle name="40% - Accent5 2 2 2" xfId="2101" xr:uid="{4B56F98E-448B-4418-8817-B83DE7F41489}"/>
    <cellStyle name="40% - Accent5 2 2 3" xfId="2100" xr:uid="{F3AAE296-25CE-4643-8FC0-158BA1642573}"/>
    <cellStyle name="40% - Accent5 2 3" xfId="250" xr:uid="{F82C0BC5-6E74-4D55-9F8B-18ADB943D5E2}"/>
    <cellStyle name="40% - Accent5 2 3 2" xfId="2103" xr:uid="{8EBA80A9-A62D-415A-A91B-5F388B278E84}"/>
    <cellStyle name="40% - Accent5 2 3 2 2" xfId="2104" xr:uid="{B6AE63E7-8133-4BF2-97DF-79054BE3DB61}"/>
    <cellStyle name="40% - Accent5 2 3 2 2 2" xfId="2105" xr:uid="{FECF3FB0-F065-4A6F-B0F4-EC089FFA0972}"/>
    <cellStyle name="40% - Accent5 2 3 2 2 2 2" xfId="3772" xr:uid="{654448A8-B748-43B4-8343-48C942E35B92}"/>
    <cellStyle name="40% - Accent5 2 3 2 2 3" xfId="2106" xr:uid="{B98C4CBB-4B95-4228-BAAA-6F8A7E708474}"/>
    <cellStyle name="40% - Accent5 2 3 2 2 3 2" xfId="3773" xr:uid="{FF5B5D49-731B-41DB-8029-9FACFD0D1D12}"/>
    <cellStyle name="40% - Accent5 2 3 2 2 4" xfId="3771" xr:uid="{200489D1-CC1D-412A-B19A-772669CEA677}"/>
    <cellStyle name="40% - Accent5 2 3 2 3" xfId="2107" xr:uid="{C2884AB6-D744-4B50-A6EF-2C9DB8B0F83D}"/>
    <cellStyle name="40% - Accent5 2 3 2 3 2" xfId="3774" xr:uid="{C95E4550-8937-478B-8E6F-63AD07D1E6F7}"/>
    <cellStyle name="40% - Accent5 2 3 2 4" xfId="2108" xr:uid="{651F5AE0-C859-452C-95F3-7FC5A2DBD611}"/>
    <cellStyle name="40% - Accent5 2 3 2 4 2" xfId="3775" xr:uid="{7815EA9B-A214-4EC2-AA3F-730CE0C328A2}"/>
    <cellStyle name="40% - Accent5 2 3 2 5" xfId="3770" xr:uid="{56A73730-3D5D-413C-BC0C-1541F838E657}"/>
    <cellStyle name="40% - Accent5 2 3 3" xfId="2109" xr:uid="{C96D78A3-4DE6-42A1-A05A-1FB60BB26D07}"/>
    <cellStyle name="40% - Accent5 2 3 3 2" xfId="2110" xr:uid="{1902EDF8-31E5-47C6-AAAD-B1F993C61228}"/>
    <cellStyle name="40% - Accent5 2 3 3 2 2" xfId="3777" xr:uid="{D9485CDF-F195-40EA-B8F2-5C3F4979BA4D}"/>
    <cellStyle name="40% - Accent5 2 3 3 3" xfId="2111" xr:uid="{791608A4-59EE-4F2B-BEAD-E8112997E705}"/>
    <cellStyle name="40% - Accent5 2 3 3 3 2" xfId="3778" xr:uid="{3B648327-5718-4F82-B664-321902A5B3E0}"/>
    <cellStyle name="40% - Accent5 2 3 3 4" xfId="3776" xr:uid="{A833AC02-CC07-4FD2-B2B3-83614C9E6F0B}"/>
    <cellStyle name="40% - Accent5 2 3 4" xfId="2112" xr:uid="{0E9FB371-D0F1-45FD-A9D4-F1FFF66BDA26}"/>
    <cellStyle name="40% - Accent5 2 3 4 2" xfId="3779" xr:uid="{F2693932-09DF-4E75-B7A0-8BF390145829}"/>
    <cellStyle name="40% - Accent5 2 3 5" xfId="2113" xr:uid="{5925EDA7-4BCF-440C-B04F-2F1258DBB186}"/>
    <cellStyle name="40% - Accent5 2 3 5 2" xfId="3780" xr:uid="{28D5E2EE-3500-4F00-8B82-50F022F4B9CE}"/>
    <cellStyle name="40% - Accent5 2 3 6" xfId="2102" xr:uid="{E2AF64D5-40DE-4BE4-BA3D-BDCC3F62014C}"/>
    <cellStyle name="40% - Accent5 2 4" xfId="2114" xr:uid="{D656A6C3-0A18-4B4C-BFAA-0B2B6240943F}"/>
    <cellStyle name="40% - Accent5 2 4 2" xfId="2115" xr:uid="{0B1A2063-BE0F-4E38-BBFB-133A91FA3313}"/>
    <cellStyle name="40% - Accent5 2 4 2 2" xfId="2116" xr:uid="{D170660D-4E4B-4EE4-8394-48DBD7CB1310}"/>
    <cellStyle name="40% - Accent5 2 4 2 2 2" xfId="3782" xr:uid="{0268B2A7-98AE-459A-8646-BC4EDEEAE5D2}"/>
    <cellStyle name="40% - Accent5 2 4 2 3" xfId="2117" xr:uid="{07432C2C-6245-4E16-B80D-54FCC82BEC10}"/>
    <cellStyle name="40% - Accent5 2 4 2 3 2" xfId="3783" xr:uid="{DB23CEF5-DBE1-4442-954F-098C629AAB46}"/>
    <cellStyle name="40% - Accent5 2 4 2 4" xfId="3781" xr:uid="{501093ED-3979-4B77-BCB4-69D15532E6AA}"/>
    <cellStyle name="40% - Accent5 2 4 3" xfId="2118" xr:uid="{D10B9E84-AAC8-4C44-9459-454E6224458A}"/>
    <cellStyle name="40% - Accent5 2 4 3 2" xfId="2119" xr:uid="{E2D0FDCD-F99D-4FBF-94BB-09FC007AB534}"/>
    <cellStyle name="40% - Accent5 2 4 3 2 2" xfId="3785" xr:uid="{C676E698-B5E8-4F0F-9F0A-A4CD245BBE67}"/>
    <cellStyle name="40% - Accent5 2 4 3 3" xfId="2120" xr:uid="{4D869DBA-C522-4EF4-8C82-E24CE089CCE8}"/>
    <cellStyle name="40% - Accent5 2 4 3 3 2" xfId="3786" xr:uid="{776208CA-4E87-43C1-AA22-081B2C3BCFE7}"/>
    <cellStyle name="40% - Accent5 2 4 3 4" xfId="3784" xr:uid="{41DA21B7-B414-431C-B047-33A2489BE215}"/>
    <cellStyle name="40% - Accent5 2 4 4" xfId="2121" xr:uid="{0A74D0F6-597B-4350-B917-AF0BF3A7CED4}"/>
    <cellStyle name="40% - Accent5 2 4 4 2" xfId="3787" xr:uid="{0D71C0EB-3B00-4FF6-A278-C45EB31EB5CA}"/>
    <cellStyle name="40% - Accent5 2 4 5" xfId="2122" xr:uid="{C4F81AED-0879-494C-B9C4-22DD6738B07C}"/>
    <cellStyle name="40% - Accent5 2 4 5 2" xfId="3788" xr:uid="{4D0E4AAB-554B-4F5B-9715-AD5C9A685775}"/>
    <cellStyle name="40% - Accent5 2 5" xfId="2123" xr:uid="{173ED613-E07E-46F2-B0B7-CD22BC952199}"/>
    <cellStyle name="40% - Accent5 2 5 2" xfId="2124" xr:uid="{17E0D7EF-AC8E-4637-8702-CC2B01C73D52}"/>
    <cellStyle name="40% - Accent5 2 5 2 2" xfId="2125" xr:uid="{2EE73E96-8C1A-481B-ACFF-F11FCE0B539A}"/>
    <cellStyle name="40% - Accent5 2 5 2 2 2" xfId="3790" xr:uid="{4133E06D-AB3A-46FC-B699-4DAF95A22C4F}"/>
    <cellStyle name="40% - Accent5 2 5 2 3" xfId="2126" xr:uid="{280E1808-DE0C-4DEB-B8C2-E559DCBB48E0}"/>
    <cellStyle name="40% - Accent5 2 5 2 3 2" xfId="3791" xr:uid="{D9C51117-3755-4EF0-ABB3-71F45428C98F}"/>
    <cellStyle name="40% - Accent5 2 5 2 4" xfId="3789" xr:uid="{FB812BF5-F12B-43C3-BBFB-7AAE554723B4}"/>
    <cellStyle name="40% - Accent5 2 5 3" xfId="2127" xr:uid="{973EDB05-8A86-485A-89D7-A7A3C9F6D0B9}"/>
    <cellStyle name="40% - Accent5 2 5 3 2" xfId="3792" xr:uid="{977D3C56-BF2F-4311-9269-C4E037097B9C}"/>
    <cellStyle name="40% - Accent5 2 5 4" xfId="2128" xr:uid="{B2710E1C-7E52-4337-8629-F6ED30586D2C}"/>
    <cellStyle name="40% - Accent5 2 5 4 2" xfId="3793" xr:uid="{B23A6D3D-9014-4BAB-A926-11688A26DCFF}"/>
    <cellStyle name="40% - Accent5 2 6" xfId="2129" xr:uid="{365DF758-31F6-4685-A35A-4DDF0094049D}"/>
    <cellStyle name="40% - Accent5 2 6 2" xfId="2130" xr:uid="{F0C18B3F-AC48-40F3-B80E-4F8C5D3CBD1B}"/>
    <cellStyle name="40% - Accent5 2 6 2 2" xfId="3794" xr:uid="{15D04BF0-C056-4666-B689-87A49CD7D002}"/>
    <cellStyle name="40% - Accent5 2 6 3" xfId="2131" xr:uid="{9BE83A0D-A067-4438-9BBF-D50D38AACAB7}"/>
    <cellStyle name="40% - Accent5 2 6 3 2" xfId="3795" xr:uid="{CE1FF2D6-9BD1-44DE-BF99-96115ED21976}"/>
    <cellStyle name="40% - Accent5 2 7" xfId="2132" xr:uid="{7D8D71A9-83A8-4A9F-81D2-22DFF0FAFE68}"/>
    <cellStyle name="40% - Accent5 2 7 2" xfId="3796" xr:uid="{7BAE8611-C705-4CAF-AA5D-9AAF459FB2B4}"/>
    <cellStyle name="40% - Accent5 2 8" xfId="2133" xr:uid="{C5B44EB3-DF43-436C-8583-77DEBD261DE0}"/>
    <cellStyle name="40% - Accent5 2 8 2" xfId="3797" xr:uid="{38B2E8BF-1627-4589-A44C-21E2CAC0E620}"/>
    <cellStyle name="40% - Accent5 2 9" xfId="2134" xr:uid="{08A383A9-C633-4BA5-AE81-889C03AB0121}"/>
    <cellStyle name="40% - Accent5 3" xfId="251" xr:uid="{BED4D3FC-DB10-446F-9B58-67F7BB355728}"/>
    <cellStyle name="40% - Accent5 3 2" xfId="2136" xr:uid="{B5F698A8-7165-42CD-B240-5F377BA09AE1}"/>
    <cellStyle name="40% - Accent5 3 3" xfId="2137" xr:uid="{0CB74143-4E43-4FE7-80A1-4F5D8FDAD8BF}"/>
    <cellStyle name="40% - Accent5 3 4" xfId="2135" xr:uid="{563A3FB7-E7ED-4C88-A7AE-CFA854EC6541}"/>
    <cellStyle name="40% - Accent5 4" xfId="252" xr:uid="{146C250D-9876-48CC-A43A-80CCE03EAF69}"/>
    <cellStyle name="40% - Accent5 4 2" xfId="2139" xr:uid="{030065F4-80C4-45D7-AD95-F20BE1672F2A}"/>
    <cellStyle name="40% - Accent5 4 3" xfId="2138" xr:uid="{2E6AE68C-7AF9-4C8F-A491-795E824AA000}"/>
    <cellStyle name="40% - Accent5 5" xfId="253" xr:uid="{2E069F66-4FD1-485F-812E-2D334075FE3F}"/>
    <cellStyle name="40% - Accent5 5 2" xfId="2140" xr:uid="{04443090-BA34-4389-A92E-FBC2650EF97E}"/>
    <cellStyle name="40% - Accent5 6" xfId="254" xr:uid="{A67D1C26-A7E1-4249-8F0A-B74EE22C90FC}"/>
    <cellStyle name="40% - Accent5 6 2" xfId="2141" xr:uid="{0B1EBC23-E750-49A6-9AA8-B7320606B7F0}"/>
    <cellStyle name="40% - Accent5 7" xfId="255" xr:uid="{BB2E3FCE-8470-4A39-B0B0-06985E6FAF0C}"/>
    <cellStyle name="40% - Accent5 8" xfId="256" xr:uid="{CF48EE0B-3D9A-4E8D-BA4B-93DCA00AC744}"/>
    <cellStyle name="40% - Accent5 9" xfId="257" xr:uid="{EE2A0F91-D9F0-402D-A570-F1F403F262AD}"/>
    <cellStyle name="40% - Accent6 10" xfId="258" xr:uid="{063FF286-593A-43F4-A6A4-C5FAF1B7496C}"/>
    <cellStyle name="40% - Accent6 10 2" xfId="2142" xr:uid="{79577FA3-8200-4582-B782-B995C1D5E757}"/>
    <cellStyle name="40% - Accent6 11" xfId="259" xr:uid="{3A0D6BD3-2517-47F4-ACF6-063BCFEA6422}"/>
    <cellStyle name="40% - Accent6 11 2" xfId="2143" xr:uid="{634D07EB-76C8-4DED-BBF2-B749673D1D3A}"/>
    <cellStyle name="40% - Accent6 12" xfId="260" xr:uid="{AFAEDE9C-9F9B-4894-8747-392B027FD40C}"/>
    <cellStyle name="40% - Accent6 12 2" xfId="2144" xr:uid="{2EA2B5DB-9D2E-451E-86A8-FF16DFBA05EC}"/>
    <cellStyle name="40% - Accent6 13" xfId="261" xr:uid="{66721FAF-ACD8-4D7A-ACA0-DE12C31F562A}"/>
    <cellStyle name="40% - Accent6 13 2" xfId="2145" xr:uid="{1823E8DA-7B32-42C4-B6A3-5B1BD1F28E97}"/>
    <cellStyle name="40% - Accent6 14" xfId="262" xr:uid="{24DC32D0-C8F7-4E3B-8854-2AA9EEB4903D}"/>
    <cellStyle name="40% - Accent6 14 2" xfId="2146" xr:uid="{26BC72BA-4A93-4051-9E81-1738702EFE31}"/>
    <cellStyle name="40% - Accent6 15" xfId="263" xr:uid="{5D979095-49EC-40DE-9D27-4F2C3CF8FC56}"/>
    <cellStyle name="40% - Accent6 15 2" xfId="2147" xr:uid="{B1816E1B-5E7A-4EC8-9076-E4116C835D1C}"/>
    <cellStyle name="40% - Accent6 16" xfId="780" xr:uid="{D226C986-725A-4430-BB2E-923F5DB35BE0}"/>
    <cellStyle name="40% - Accent6 16 2" xfId="3798" xr:uid="{9940C314-4963-4C19-9703-879C9551F5FB}"/>
    <cellStyle name="40% - Accent6 16 3" xfId="2148" xr:uid="{5501DAB6-82F1-4AA2-9D8D-CC307BDC11AD}"/>
    <cellStyle name="40% - Accent6 2" xfId="34" xr:uid="{00000000-0005-0000-0000-000014000000}"/>
    <cellStyle name="40% - Accent6 2 10" xfId="2150" xr:uid="{B32A667C-F25E-4092-AF2F-54A43B348A83}"/>
    <cellStyle name="40% - Accent6 2 10 2" xfId="3799" xr:uid="{0FC9ADB1-B86F-48E2-AB52-779731186EA2}"/>
    <cellStyle name="40% - Accent6 2 11" xfId="2151" xr:uid="{C4E6490B-B863-4882-B859-C08B8C39214B}"/>
    <cellStyle name="40% - Accent6 2 12" xfId="2149" xr:uid="{CC77005C-2E58-4E49-9E9E-D23B8F4CD989}"/>
    <cellStyle name="40% - Accent6 2 2" xfId="836" xr:uid="{55D6C8D3-8343-4C9B-AF9D-E057025C2BCB}"/>
    <cellStyle name="40% - Accent6 2 2 2" xfId="2153" xr:uid="{BA99C0BF-A0FB-4374-9BEC-FAA12034A45A}"/>
    <cellStyle name="40% - Accent6 2 2 3" xfId="2152" xr:uid="{5BE64C2B-08D6-4EE1-A8FA-3530C9C7C4D9}"/>
    <cellStyle name="40% - Accent6 2 3" xfId="264" xr:uid="{66A8F444-729A-480D-91B8-2A2A0AEADE80}"/>
    <cellStyle name="40% - Accent6 2 3 2" xfId="2155" xr:uid="{BD9F5ED8-AD0B-4ADA-9E34-254E7D231A4A}"/>
    <cellStyle name="40% - Accent6 2 3 2 2" xfId="2156" xr:uid="{A6FDCC00-3484-4C83-8FCE-02E22C52612C}"/>
    <cellStyle name="40% - Accent6 2 3 2 2 2" xfId="2157" xr:uid="{7C46B5D0-4F5C-4157-B157-1A415A616427}"/>
    <cellStyle name="40% - Accent6 2 3 2 2 2 2" xfId="3802" xr:uid="{008E24D2-39F7-4805-8DFA-C2686EC78E2D}"/>
    <cellStyle name="40% - Accent6 2 3 2 2 3" xfId="2158" xr:uid="{E0DAB2C1-D87A-4772-8F53-D33D1BE1BAB6}"/>
    <cellStyle name="40% - Accent6 2 3 2 2 3 2" xfId="3803" xr:uid="{5E42FF93-E283-4A0F-BEFC-B85F6A152AB1}"/>
    <cellStyle name="40% - Accent6 2 3 2 2 4" xfId="3801" xr:uid="{D008AB00-6973-41D7-94E9-FFE782530C27}"/>
    <cellStyle name="40% - Accent6 2 3 2 3" xfId="2159" xr:uid="{7581C7A0-0B73-4C5F-A839-FF3FA9A2B793}"/>
    <cellStyle name="40% - Accent6 2 3 2 3 2" xfId="3804" xr:uid="{013D5C66-1A7B-48B5-BABF-3B4AB87ECABB}"/>
    <cellStyle name="40% - Accent6 2 3 2 4" xfId="2160" xr:uid="{D3CC930A-7ED2-4A55-A51A-328D35CE566D}"/>
    <cellStyle name="40% - Accent6 2 3 2 4 2" xfId="3805" xr:uid="{17C2271B-22DA-49C3-A39F-52E5D4DE6631}"/>
    <cellStyle name="40% - Accent6 2 3 2 5" xfId="3800" xr:uid="{842BF991-D3B3-4BAD-B960-D1CC4EC53D9F}"/>
    <cellStyle name="40% - Accent6 2 3 3" xfId="2161" xr:uid="{79AAA50D-F387-4607-8E36-38647D346F31}"/>
    <cellStyle name="40% - Accent6 2 3 3 2" xfId="2162" xr:uid="{27A2875F-FCBA-4DDF-B5D0-3EDC43BFB820}"/>
    <cellStyle name="40% - Accent6 2 3 3 2 2" xfId="3807" xr:uid="{AC2F3EC6-CDC0-4377-AA93-ECEFAE9187F0}"/>
    <cellStyle name="40% - Accent6 2 3 3 3" xfId="2163" xr:uid="{699C7795-9084-4408-A0C3-CE157DE3299D}"/>
    <cellStyle name="40% - Accent6 2 3 3 3 2" xfId="3808" xr:uid="{698F89B8-932D-4C28-9311-30B256999DAA}"/>
    <cellStyle name="40% - Accent6 2 3 3 4" xfId="3806" xr:uid="{35EDF5F3-1B2E-4004-A65B-BCFE2903042D}"/>
    <cellStyle name="40% - Accent6 2 3 4" xfId="2164" xr:uid="{78AB1291-FBDE-474A-86F7-52E3F5628D73}"/>
    <cellStyle name="40% - Accent6 2 3 4 2" xfId="3809" xr:uid="{B83F5239-6136-43DC-B44A-D75FCB8C03C5}"/>
    <cellStyle name="40% - Accent6 2 3 5" xfId="2165" xr:uid="{F50D5549-E057-4DB1-90B4-6EBCFAA9E0EE}"/>
    <cellStyle name="40% - Accent6 2 3 5 2" xfId="3810" xr:uid="{F791F7A9-D282-4D49-9D5F-3C5F5A42EC0A}"/>
    <cellStyle name="40% - Accent6 2 3 6" xfId="2154" xr:uid="{838DF984-5B44-4DC6-8BF9-8667F6789131}"/>
    <cellStyle name="40% - Accent6 2 4" xfId="2166" xr:uid="{65B94287-A226-4F66-8ED6-176A182CBF90}"/>
    <cellStyle name="40% - Accent6 2 4 2" xfId="2167" xr:uid="{9FD67C71-8DD9-4498-9644-68FA712ED11B}"/>
    <cellStyle name="40% - Accent6 2 4 2 2" xfId="2168" xr:uid="{864391E5-B295-4365-B81B-B908DDF6C753}"/>
    <cellStyle name="40% - Accent6 2 4 2 2 2" xfId="3812" xr:uid="{876B46BB-29FB-49E9-9ABA-5E3488E8B568}"/>
    <cellStyle name="40% - Accent6 2 4 2 3" xfId="2169" xr:uid="{AF38E5E4-B629-4D51-96E0-FDB7F88B652D}"/>
    <cellStyle name="40% - Accent6 2 4 2 3 2" xfId="3813" xr:uid="{29FDEEE4-E5BF-4D1D-88B0-5F84004D58D9}"/>
    <cellStyle name="40% - Accent6 2 4 2 4" xfId="3811" xr:uid="{0B4DD215-ACED-418D-8644-6271CFE5BA4E}"/>
    <cellStyle name="40% - Accent6 2 4 3" xfId="2170" xr:uid="{8F8A33B9-60A4-4BB8-8BC5-93BD0B38F7CD}"/>
    <cellStyle name="40% - Accent6 2 4 3 2" xfId="2171" xr:uid="{CF848EEA-8867-41D0-951B-1F4C9514DA8C}"/>
    <cellStyle name="40% - Accent6 2 4 3 2 2" xfId="3815" xr:uid="{83DFF8FA-58DD-4A6F-9493-93195913F668}"/>
    <cellStyle name="40% - Accent6 2 4 3 3" xfId="2172" xr:uid="{178540C5-29CC-42DA-9A23-B0E177813B04}"/>
    <cellStyle name="40% - Accent6 2 4 3 3 2" xfId="3816" xr:uid="{93E3B46C-B5D7-4101-A364-80484536A7CB}"/>
    <cellStyle name="40% - Accent6 2 4 3 4" xfId="3814" xr:uid="{25FA92F5-0895-461B-8754-1BC646E00B86}"/>
    <cellStyle name="40% - Accent6 2 4 4" xfId="2173" xr:uid="{02D4C5D7-693C-4E13-8E0B-70008C930344}"/>
    <cellStyle name="40% - Accent6 2 4 4 2" xfId="3817" xr:uid="{AF4C1D9F-BA02-44DD-AE8B-D903F6863228}"/>
    <cellStyle name="40% - Accent6 2 4 5" xfId="2174" xr:uid="{3C0215EA-1A9C-472F-90B0-E6165671139B}"/>
    <cellStyle name="40% - Accent6 2 4 5 2" xfId="3818" xr:uid="{00519B39-E782-4020-93BF-11B22C6DD8C8}"/>
    <cellStyle name="40% - Accent6 2 5" xfId="2175" xr:uid="{07706E51-25EA-4E6E-96E5-93CC3C4BD617}"/>
    <cellStyle name="40% - Accent6 2 5 2" xfId="2176" xr:uid="{AC7451F6-A54B-4882-9F00-2266A3B699BF}"/>
    <cellStyle name="40% - Accent6 2 5 2 2" xfId="2177" xr:uid="{5780A676-160E-4858-9A01-AE0C4235B721}"/>
    <cellStyle name="40% - Accent6 2 5 2 2 2" xfId="3820" xr:uid="{44CBD844-9A3A-4562-9313-EF52D225A147}"/>
    <cellStyle name="40% - Accent6 2 5 2 3" xfId="2178" xr:uid="{6304A2F5-705E-4EF8-963C-479D4DDFF91D}"/>
    <cellStyle name="40% - Accent6 2 5 2 3 2" xfId="3821" xr:uid="{AB0B5F25-2392-4841-92B0-70FE43F55BFF}"/>
    <cellStyle name="40% - Accent6 2 5 2 4" xfId="3819" xr:uid="{8891502F-9A58-44EF-8B3B-21A0316A97E3}"/>
    <cellStyle name="40% - Accent6 2 5 3" xfId="2179" xr:uid="{2D5A4A30-0E00-4965-BD21-86E745DB5C33}"/>
    <cellStyle name="40% - Accent6 2 5 3 2" xfId="3822" xr:uid="{6BB4D5BB-500D-4CCD-8DAE-E2747D105A9A}"/>
    <cellStyle name="40% - Accent6 2 5 4" xfId="2180" xr:uid="{F4B8EF40-3F88-4553-80CE-50CEE19E66F9}"/>
    <cellStyle name="40% - Accent6 2 5 4 2" xfId="3823" xr:uid="{ECF6FB49-4727-4A21-8CC5-A7F51FEF1610}"/>
    <cellStyle name="40% - Accent6 2 6" xfId="2181" xr:uid="{27898831-EE04-41F0-8D4D-3FBE158D2EF0}"/>
    <cellStyle name="40% - Accent6 2 6 2" xfId="2182" xr:uid="{6FBF7D09-6BCD-42DD-AB92-992A20F6D45D}"/>
    <cellStyle name="40% - Accent6 2 6 2 2" xfId="3824" xr:uid="{71549226-7F4B-4C1A-B702-3A3D79403417}"/>
    <cellStyle name="40% - Accent6 2 6 3" xfId="2183" xr:uid="{C71EEB84-C5C7-47AA-9407-1113F8093DE9}"/>
    <cellStyle name="40% - Accent6 2 6 3 2" xfId="3825" xr:uid="{DA9BDEA7-F600-41B7-A43B-F34F1685DAB6}"/>
    <cellStyle name="40% - Accent6 2 7" xfId="2184" xr:uid="{1C46381B-ABFD-4BFE-9E25-D1EA0B684B27}"/>
    <cellStyle name="40% - Accent6 2 7 2" xfId="3826" xr:uid="{933AE112-D937-4F7C-92DC-4CA27BB1CCBC}"/>
    <cellStyle name="40% - Accent6 2 8" xfId="2185" xr:uid="{D17C29B9-0F14-4F84-A645-190487A0EE68}"/>
    <cellStyle name="40% - Accent6 2 8 2" xfId="3827" xr:uid="{353F976F-450A-4960-BE2C-4E24AA751363}"/>
    <cellStyle name="40% - Accent6 2 9" xfId="2186" xr:uid="{7FEF3CCF-560D-486E-A6B2-AB94E9BA7781}"/>
    <cellStyle name="40% - Accent6 3" xfId="265" xr:uid="{30099454-2072-4D8D-A920-2C35B492A4D9}"/>
    <cellStyle name="40% - Accent6 3 2" xfId="2188" xr:uid="{75683870-2652-4EEC-B7CE-DBC340C9FDBB}"/>
    <cellStyle name="40% - Accent6 3 3" xfId="2189" xr:uid="{DC72FD27-B5AF-4158-B062-8EBDAE23A17E}"/>
    <cellStyle name="40% - Accent6 3 4" xfId="2187" xr:uid="{C54825DC-0DB4-4369-A5D8-AEEF359A7848}"/>
    <cellStyle name="40% - Accent6 4" xfId="266" xr:uid="{CF27A3A7-120B-4E2B-8CD6-64D7A7BC6399}"/>
    <cellStyle name="40% - Accent6 4 2" xfId="2191" xr:uid="{74482026-C026-4353-A218-06E01837E578}"/>
    <cellStyle name="40% - Accent6 4 3" xfId="2190" xr:uid="{723AC84D-9E22-4F05-8008-7E8E1876ED6A}"/>
    <cellStyle name="40% - Accent6 5" xfId="267" xr:uid="{A557B3E1-5E14-4490-9399-C90860D40BF4}"/>
    <cellStyle name="40% - Accent6 5 2" xfId="2192" xr:uid="{0ABD566A-3A7B-4EC2-8A7C-585CBC35CFA6}"/>
    <cellStyle name="40% - Accent6 6" xfId="268" xr:uid="{DF3145FD-ABB6-4AD0-A84E-8B8FE4DE779A}"/>
    <cellStyle name="40% - Accent6 6 2" xfId="2193" xr:uid="{84CF3DC0-47BF-40D5-B236-46F282E079F8}"/>
    <cellStyle name="40% - Accent6 7" xfId="269" xr:uid="{EBA005D8-ACE1-451A-98F8-07DA1AA4DB1D}"/>
    <cellStyle name="40% - Accent6 7 2" xfId="2194" xr:uid="{72AAE407-DE44-4A55-9BFA-5724B8B3E8D4}"/>
    <cellStyle name="40% - Accent6 8" xfId="270" xr:uid="{4CB26E9C-9ECA-4043-A3A1-22AA5784988E}"/>
    <cellStyle name="40% - Accent6 8 2" xfId="2195" xr:uid="{3CA06C62-B7AF-4087-8D23-AB98C9D5BD91}"/>
    <cellStyle name="40% - Accent6 9" xfId="271" xr:uid="{4CCF379F-2F25-4939-A225-C4B8453ECE3A}"/>
    <cellStyle name="40% - Accent6 9 2" xfId="2196" xr:uid="{03B9AACD-1DD4-4228-A432-9CB30F264C92}"/>
    <cellStyle name="60% - Accent1 10" xfId="272" xr:uid="{121D0AB9-CE72-4784-9393-8E3D367A5FC1}"/>
    <cellStyle name="60% - Accent1 10 2" xfId="2197" xr:uid="{88D2178D-AF6A-45E2-AF7F-2694BABAE304}"/>
    <cellStyle name="60% - Accent1 11" xfId="273" xr:uid="{B7F2F6D3-662C-4B06-81D7-AA81CDFFE44C}"/>
    <cellStyle name="60% - Accent1 11 2" xfId="2198" xr:uid="{1E818C38-7A7A-4BA9-B993-FF63F5E6602D}"/>
    <cellStyle name="60% - Accent1 12" xfId="274" xr:uid="{CF0770D2-01E8-4E33-BAF7-91F084A95505}"/>
    <cellStyle name="60% - Accent1 12 2" xfId="2199" xr:uid="{F27AF413-A4A0-4988-9162-FEA7EB3F566F}"/>
    <cellStyle name="60% - Accent1 13" xfId="275" xr:uid="{7CEC125A-2191-4C31-8E75-FA3AA08AF528}"/>
    <cellStyle name="60% - Accent1 13 2" xfId="2200" xr:uid="{68CF2BC4-8C41-4F6C-A4A9-65FC64ED1982}"/>
    <cellStyle name="60% - Accent1 14" xfId="276" xr:uid="{4F76651C-E0C6-4828-8638-CCE7CBEF79BC}"/>
    <cellStyle name="60% - Accent1 14 2" xfId="2201" xr:uid="{3A945C15-A315-4207-89C0-3572FE04AF6F}"/>
    <cellStyle name="60% - Accent1 15" xfId="277" xr:uid="{8CA670D0-8B0E-4D89-B2A5-E65A4631E0D0}"/>
    <cellStyle name="60% - Accent1 15 2" xfId="2202" xr:uid="{A6A40181-5605-4CA2-B684-08E461C0B548}"/>
    <cellStyle name="60% - Accent1 16" xfId="781" xr:uid="{EE15427E-4B7D-46C4-A810-A0149D768BE3}"/>
    <cellStyle name="60% - Accent1 16 2" xfId="2203" xr:uid="{3F254301-5541-4ADE-B1BE-B0E8D2C4C5F6}"/>
    <cellStyle name="60% - Accent1 2" xfId="35" xr:uid="{00000000-0005-0000-0000-000015000000}"/>
    <cellStyle name="60% - Accent1 2 2" xfId="817" xr:uid="{DA53280A-48A4-4C8D-B351-917BE633AA11}"/>
    <cellStyle name="60% - Accent1 2 2 2" xfId="2206" xr:uid="{6B4F5262-41DA-41E9-BE1E-C2D5478C23B7}"/>
    <cellStyle name="60% - Accent1 2 2 3" xfId="2205" xr:uid="{0075C5F9-E6B8-4333-B4F5-48887510105B}"/>
    <cellStyle name="60% - Accent1 2 3" xfId="278" xr:uid="{B22BB10A-14FF-4849-A0B3-5F4CFF0AD886}"/>
    <cellStyle name="60% - Accent1 2 3 2" xfId="2208" xr:uid="{CD5601F1-A7A4-4222-A028-4312A1A5202C}"/>
    <cellStyle name="60% - Accent1 2 3 3" xfId="2207" xr:uid="{B978AD3B-9349-4D30-A345-49E3986CE93C}"/>
    <cellStyle name="60% - Accent1 2 4" xfId="2209" xr:uid="{DBF3CE9D-49E6-4312-9C08-B4D4C4D34430}"/>
    <cellStyle name="60% - Accent1 2 5" xfId="2210" xr:uid="{F7C9DECC-F2E1-462E-B575-F08561FD9312}"/>
    <cellStyle name="60% - Accent1 2 6" xfId="2211" xr:uid="{43A6D6A6-F97F-47AB-BFC4-BC8EA369C4E2}"/>
    <cellStyle name="60% - Accent1 2 7" xfId="2204" xr:uid="{9EBC768A-F8CB-449E-A55F-D2ADC0FAA5EC}"/>
    <cellStyle name="60% - Accent1 3" xfId="279" xr:uid="{F081065D-FB71-4871-914C-CE127F402382}"/>
    <cellStyle name="60% - Accent1 3 2" xfId="2213" xr:uid="{A87E2DCF-15A6-4F08-9A56-0DFB5E0A0C07}"/>
    <cellStyle name="60% - Accent1 3 3" xfId="2214" xr:uid="{CEF178BF-D5FD-4C4C-954D-CFB53BAE2041}"/>
    <cellStyle name="60% - Accent1 3 4" xfId="2212" xr:uid="{E0EF02C5-226D-4CCD-A2DE-1E7B6985F1F2}"/>
    <cellStyle name="60% - Accent1 4" xfId="280" xr:uid="{B2DAFC0D-440B-4325-81DF-8AACD2800598}"/>
    <cellStyle name="60% - Accent1 4 2" xfId="2216" xr:uid="{325B8FC0-7524-4A58-B7BE-815F52FEF680}"/>
    <cellStyle name="60% - Accent1 4 3" xfId="2215" xr:uid="{AE8A5268-E66F-4402-8EFF-0F82F905CCB0}"/>
    <cellStyle name="60% - Accent1 5" xfId="281" xr:uid="{DC694C4B-078D-4F35-B8DF-EF8AD1F9CBB4}"/>
    <cellStyle name="60% - Accent1 5 2" xfId="2217" xr:uid="{AB1ECFC4-FC9F-4A2D-8E30-6464EC7C6B26}"/>
    <cellStyle name="60% - Accent1 6" xfId="282" xr:uid="{73B8B9D5-1E27-4E10-ADCD-1AB4364307CA}"/>
    <cellStyle name="60% - Accent1 6 2" xfId="2218" xr:uid="{24ACED36-552C-4556-9DB6-0EF4E26A0F1C}"/>
    <cellStyle name="60% - Accent1 7" xfId="283" xr:uid="{04916911-431D-4FD8-AEB9-9527C7EA90A5}"/>
    <cellStyle name="60% - Accent1 7 2" xfId="2219" xr:uid="{7B2BE777-7202-49B0-AA51-77053FA32DE0}"/>
    <cellStyle name="60% - Accent1 8" xfId="284" xr:uid="{BEC5E216-0D73-4287-B87E-A081C003DB91}"/>
    <cellStyle name="60% - Accent1 8 2" xfId="2220" xr:uid="{597F6936-AFCE-449C-9AA6-634A3425736B}"/>
    <cellStyle name="60% - Accent1 9" xfId="285" xr:uid="{6EC31DE2-92E7-4685-8893-10EC7B245FFB}"/>
    <cellStyle name="60% - Accent1 9 2" xfId="2221" xr:uid="{4F179CD4-62E3-4119-BFE8-D0188E551677}"/>
    <cellStyle name="60% - Accent2 10" xfId="286" xr:uid="{5A4C17A8-4857-4C00-BAD5-907895B2A795}"/>
    <cellStyle name="60% - Accent2 11" xfId="287" xr:uid="{AAAB4EF6-1227-4703-935B-E1144856CDEB}"/>
    <cellStyle name="60% - Accent2 12" xfId="288" xr:uid="{C8E65D39-1F04-4C71-BC79-C3FD8B4C739D}"/>
    <cellStyle name="60% - Accent2 13" xfId="289" xr:uid="{75D766B4-751F-4E61-937A-B29967B28276}"/>
    <cellStyle name="60% - Accent2 14" xfId="290" xr:uid="{B6CBCFDE-2995-4D82-A44C-9F34B0AC89A7}"/>
    <cellStyle name="60% - Accent2 15" xfId="291" xr:uid="{FCB55BF2-48F1-4DF2-B95F-AE5172C28027}"/>
    <cellStyle name="60% - Accent2 16" xfId="782" xr:uid="{77D578A0-FD5A-49D6-94E0-3A5E3FFC73D9}"/>
    <cellStyle name="60% - Accent2 2" xfId="36" xr:uid="{00000000-0005-0000-0000-000016000000}"/>
    <cellStyle name="60% - Accent2 2 2" xfId="821" xr:uid="{0000B17A-C06A-4F22-907A-3FF328F00F86}"/>
    <cellStyle name="60% - Accent2 2 2 2" xfId="2224" xr:uid="{E7B67D9C-47D1-471F-A2C1-C6B351F035D9}"/>
    <cellStyle name="60% - Accent2 2 2 3" xfId="2223" xr:uid="{0F66981C-FD0F-4FAE-8C74-4D185FB76E7E}"/>
    <cellStyle name="60% - Accent2 2 3" xfId="292" xr:uid="{958FB846-B3E0-48B1-98D9-EA000ED18435}"/>
    <cellStyle name="60% - Accent2 2 3 2" xfId="2226" xr:uid="{6B3F930D-9A57-4237-8917-2FFE48B253E0}"/>
    <cellStyle name="60% - Accent2 2 3 3" xfId="2225" xr:uid="{D7827820-51C1-4CFC-9519-5018CC45FA01}"/>
    <cellStyle name="60% - Accent2 2 4" xfId="2227" xr:uid="{70686BD9-6DCF-4817-A451-B26BC3178107}"/>
    <cellStyle name="60% - Accent2 2 5" xfId="2228" xr:uid="{90D91369-7709-4630-9946-4C631254EE91}"/>
    <cellStyle name="60% - Accent2 2 6" xfId="2229" xr:uid="{C769FA2E-F38E-43A7-AEC6-A3258D161BB1}"/>
    <cellStyle name="60% - Accent2 2 7" xfId="2222" xr:uid="{EC53C54D-5755-41FF-A009-B47B21381ABF}"/>
    <cellStyle name="60% - Accent2 3" xfId="293" xr:uid="{1E6A68D4-E7D6-45D5-8321-239EECB71DBD}"/>
    <cellStyle name="60% - Accent2 3 2" xfId="2231" xr:uid="{D8F222B7-32B8-48AA-AFDC-8B15108635A2}"/>
    <cellStyle name="60% - Accent2 3 3" xfId="2232" xr:uid="{9E4D8185-C8F0-4C8E-B50D-D96795FBB406}"/>
    <cellStyle name="60% - Accent2 3 4" xfId="2230" xr:uid="{ACF88EB2-035E-4D03-A604-7847F641915E}"/>
    <cellStyle name="60% - Accent2 4" xfId="294" xr:uid="{1AB2AFBD-AA6A-41C7-8244-42E5F5D3FD1C}"/>
    <cellStyle name="60% - Accent2 4 2" xfId="2234" xr:uid="{BBDDE2EB-8D49-4910-9FCA-65FE755E6930}"/>
    <cellStyle name="60% - Accent2 4 3" xfId="2233" xr:uid="{2317CD5A-A02A-4A37-BAE0-95FE07CB6F1E}"/>
    <cellStyle name="60% - Accent2 5" xfId="295" xr:uid="{1C19E159-F86C-42A9-ABE1-591CDBC84F90}"/>
    <cellStyle name="60% - Accent2 5 2" xfId="2235" xr:uid="{F07818C9-3892-40E5-BDBA-1DE7CF36B804}"/>
    <cellStyle name="60% - Accent2 6" xfId="296" xr:uid="{9EE756B7-D35D-45CE-8233-30596E37DD24}"/>
    <cellStyle name="60% - Accent2 6 2" xfId="2236" xr:uid="{9BCE5D11-0E91-4505-AD5F-6621A1647034}"/>
    <cellStyle name="60% - Accent2 7" xfId="297" xr:uid="{4C09B745-4F30-4B03-BF81-47729DB3CF3A}"/>
    <cellStyle name="60% - Accent2 8" xfId="298" xr:uid="{B94AA458-577F-4CDE-9BE3-2EC500D97A78}"/>
    <cellStyle name="60% - Accent2 9" xfId="299" xr:uid="{669F84EE-6D47-4B43-95F9-E73081B36D62}"/>
    <cellStyle name="60% - Accent3 10" xfId="300" xr:uid="{E004A4EC-F1DD-46A4-B225-11995009ACD1}"/>
    <cellStyle name="60% - Accent3 10 2" xfId="2237" xr:uid="{FD7E5803-2380-4975-AE91-AF4240BA7324}"/>
    <cellStyle name="60% - Accent3 11" xfId="301" xr:uid="{39BED4F6-819E-4365-8C8B-40178C8674D1}"/>
    <cellStyle name="60% - Accent3 11 2" xfId="2238" xr:uid="{9291E3FD-4F6A-442C-A919-128FCC8EED2A}"/>
    <cellStyle name="60% - Accent3 12" xfId="302" xr:uid="{49B92048-6C3F-4A6B-B81F-749B819D0DE2}"/>
    <cellStyle name="60% - Accent3 12 2" xfId="2239" xr:uid="{971354D9-51AC-4470-9B4A-95C2D7429E89}"/>
    <cellStyle name="60% - Accent3 13" xfId="303" xr:uid="{89E54486-4DB7-4A0E-807A-CC52AEC1AE84}"/>
    <cellStyle name="60% - Accent3 13 2" xfId="2240" xr:uid="{B8F39C9A-209E-4B49-B97C-CC8A0BCE680C}"/>
    <cellStyle name="60% - Accent3 14" xfId="304" xr:uid="{3729815D-C0C0-44FE-B70F-512CB7FC63E9}"/>
    <cellStyle name="60% - Accent3 14 2" xfId="2241" xr:uid="{B1412312-91A3-4201-A70D-5E5C3F5A68A7}"/>
    <cellStyle name="60% - Accent3 15" xfId="305" xr:uid="{E3BCEA63-A2DB-4B83-AC76-8977550F608C}"/>
    <cellStyle name="60% - Accent3 15 2" xfId="2242" xr:uid="{74D52D38-5B30-4373-B227-A09F2F7C473F}"/>
    <cellStyle name="60% - Accent3 16" xfId="783" xr:uid="{CB624445-18FF-43B8-971E-E4297F509989}"/>
    <cellStyle name="60% - Accent3 16 2" xfId="2243" xr:uid="{2FD1A1E7-07AD-419A-B392-8E150F2E60AC}"/>
    <cellStyle name="60% - Accent3 2" xfId="37" xr:uid="{00000000-0005-0000-0000-000017000000}"/>
    <cellStyle name="60% - Accent3 2 2" xfId="825" xr:uid="{44DD17FD-58C8-4F15-8A99-9B8CF79411B3}"/>
    <cellStyle name="60% - Accent3 2 2 2" xfId="2246" xr:uid="{A2B0EDEC-ACC0-4901-B2D2-EE2B007BE5F1}"/>
    <cellStyle name="60% - Accent3 2 2 3" xfId="2245" xr:uid="{DA6942B8-9934-491B-8DD0-9614FBEF58A7}"/>
    <cellStyle name="60% - Accent3 2 3" xfId="306" xr:uid="{D6AF060B-685D-4A0E-ADAF-C6E5982631E4}"/>
    <cellStyle name="60% - Accent3 2 3 2" xfId="2248" xr:uid="{D35C1FA1-C8BA-423E-AF8E-80225B3D66B2}"/>
    <cellStyle name="60% - Accent3 2 3 3" xfId="2247" xr:uid="{5827CF86-D0E2-4525-A577-4FAB5EB76FEF}"/>
    <cellStyle name="60% - Accent3 2 4" xfId="2249" xr:uid="{BFDE3ED6-255E-4484-BC8D-B77F8765AB10}"/>
    <cellStyle name="60% - Accent3 2 5" xfId="2250" xr:uid="{41BA8682-CDD4-45F7-8FFD-A82108ECCCAD}"/>
    <cellStyle name="60% - Accent3 2 6" xfId="2251" xr:uid="{A67069DC-A624-44E0-B98B-69D3DA9F15D8}"/>
    <cellStyle name="60% - Accent3 2 7" xfId="2252" xr:uid="{1CCCE18D-DA01-4C3A-A719-46F73E960EA0}"/>
    <cellStyle name="60% - Accent3 2 8" xfId="2244" xr:uid="{A685B06D-11BF-4953-844C-AFD3401E371D}"/>
    <cellStyle name="60% - Accent3 3" xfId="307" xr:uid="{066235C4-8112-4190-9BB8-40460448C492}"/>
    <cellStyle name="60% - Accent3 3 2" xfId="2254" xr:uid="{3B7269C4-1684-4DE0-A710-A6BCF434864D}"/>
    <cellStyle name="60% - Accent3 3 3" xfId="2255" xr:uid="{E026CE39-F8A5-493B-A2B0-B81151926C2B}"/>
    <cellStyle name="60% - Accent3 3 4" xfId="2253" xr:uid="{590F3FB2-D840-4D9B-B37C-72AE041FA019}"/>
    <cellStyle name="60% - Accent3 4" xfId="308" xr:uid="{FB275DE9-577B-4B6B-B7EB-0300703382DB}"/>
    <cellStyle name="60% - Accent3 4 2" xfId="2257" xr:uid="{D6CCB33C-C311-459A-A26D-222165A5563C}"/>
    <cellStyle name="60% - Accent3 4 3" xfId="2256" xr:uid="{59ED9852-1773-4680-8337-789C9097B0D3}"/>
    <cellStyle name="60% - Accent3 5" xfId="309" xr:uid="{21626179-22AF-4425-B3E3-D323B8D89A3B}"/>
    <cellStyle name="60% - Accent3 5 2" xfId="2258" xr:uid="{8FBE4C6E-85B4-4781-A25F-EE60271265A5}"/>
    <cellStyle name="60% - Accent3 6" xfId="310" xr:uid="{F2DDA026-78E1-4C8D-A288-3C57E26AD150}"/>
    <cellStyle name="60% - Accent3 6 2" xfId="2259" xr:uid="{69276D9A-C43A-45F7-BBE3-805C8333C954}"/>
    <cellStyle name="60% - Accent3 7" xfId="311" xr:uid="{83E38BA6-8E54-4ABC-91A3-3ED49925CD9D}"/>
    <cellStyle name="60% - Accent3 7 2" xfId="2260" xr:uid="{4CD109FB-9F00-4435-9AFA-7BEC34763DBB}"/>
    <cellStyle name="60% - Accent3 8" xfId="312" xr:uid="{26390211-D61D-45BF-BBC5-7FE49861737C}"/>
    <cellStyle name="60% - Accent3 8 2" xfId="2261" xr:uid="{C28C644E-C79D-47D7-BB5D-5F04704DAF4F}"/>
    <cellStyle name="60% - Accent3 9" xfId="313" xr:uid="{B612C642-70BE-4649-930A-BBD649C8A156}"/>
    <cellStyle name="60% - Accent3 9 2" xfId="2262" xr:uid="{D9D82AF4-159C-4B06-B774-5159339417CE}"/>
    <cellStyle name="60% - Accent4 10" xfId="314" xr:uid="{AAF16347-5166-4508-BA3F-D490E39D1490}"/>
    <cellStyle name="60% - Accent4 10 2" xfId="2263" xr:uid="{BA41AF22-E61C-48B0-9864-98B14F8DC1D8}"/>
    <cellStyle name="60% - Accent4 11" xfId="315" xr:uid="{EB04CC85-EF0F-448E-B94C-16E0F738326D}"/>
    <cellStyle name="60% - Accent4 11 2" xfId="2264" xr:uid="{DCBE8ABF-7E48-48D4-8C8A-4EB81ACB3E7C}"/>
    <cellStyle name="60% - Accent4 12" xfId="316" xr:uid="{87018657-7442-4BF1-A854-F7EF377F7D05}"/>
    <cellStyle name="60% - Accent4 12 2" xfId="2265" xr:uid="{79DC6158-402C-43B2-A8F4-20B499A2AE36}"/>
    <cellStyle name="60% - Accent4 13" xfId="317" xr:uid="{9F1F49B9-CB22-4964-8A30-06E5D0B30654}"/>
    <cellStyle name="60% - Accent4 13 2" xfId="2266" xr:uid="{9BE58E2D-F7A4-44B1-BDB4-D0A731CF97B2}"/>
    <cellStyle name="60% - Accent4 14" xfId="318" xr:uid="{AD06B357-9DA6-4627-8EC8-A5220D680CE6}"/>
    <cellStyle name="60% - Accent4 14 2" xfId="2267" xr:uid="{33400AA4-9BF2-4456-BD50-FA1750F015B4}"/>
    <cellStyle name="60% - Accent4 15" xfId="319" xr:uid="{361052E9-8026-4A4E-A7FB-42F9CB6ED48F}"/>
    <cellStyle name="60% - Accent4 15 2" xfId="2268" xr:uid="{CD039FF4-1C10-48B7-B391-52C71B9D8321}"/>
    <cellStyle name="60% - Accent4 16" xfId="784" xr:uid="{47C94269-E3DE-4187-8087-4B76933C7F34}"/>
    <cellStyle name="60% - Accent4 16 2" xfId="2269" xr:uid="{27F76005-B1CB-4F8A-95F8-67551A234179}"/>
    <cellStyle name="60% - Accent4 2" xfId="38" xr:uid="{00000000-0005-0000-0000-000018000000}"/>
    <cellStyle name="60% - Accent4 2 2" xfId="829" xr:uid="{9A15E3F0-3BDC-4AE9-A088-651919D69ED0}"/>
    <cellStyle name="60% - Accent4 2 2 2" xfId="2272" xr:uid="{1DFBDE5D-7BD5-4200-9FFE-C996CCC2C209}"/>
    <cellStyle name="60% - Accent4 2 2 3" xfId="2271" xr:uid="{EEB78645-3DEF-47BB-AC69-50EE7A0237BD}"/>
    <cellStyle name="60% - Accent4 2 3" xfId="320" xr:uid="{72D010D9-7502-45D0-B05F-B92BABA26233}"/>
    <cellStyle name="60% - Accent4 2 3 2" xfId="2274" xr:uid="{1CE67578-9B5F-4F09-A3F2-12A37EC763E6}"/>
    <cellStyle name="60% - Accent4 2 3 3" xfId="2273" xr:uid="{B5F6AAEA-1C69-471A-898A-D8D08E2C1B0A}"/>
    <cellStyle name="60% - Accent4 2 4" xfId="2275" xr:uid="{34C5F013-F138-4B0A-A4E4-2B4176FC9031}"/>
    <cellStyle name="60% - Accent4 2 5" xfId="2276" xr:uid="{3E2497CD-8147-43F6-9641-1E0F8DCD2EEC}"/>
    <cellStyle name="60% - Accent4 2 6" xfId="2277" xr:uid="{252260F7-7CA0-4502-B25A-28D62FBDE390}"/>
    <cellStyle name="60% - Accent4 2 7" xfId="2278" xr:uid="{45EC6AF5-F59A-4361-97C1-2961A8B937CA}"/>
    <cellStyle name="60% - Accent4 2 8" xfId="2270" xr:uid="{527FB832-E6FF-4B7E-84D7-3E2438A30F64}"/>
    <cellStyle name="60% - Accent4 3" xfId="321" xr:uid="{ADFC752E-942C-43E0-BF1D-F592C797999E}"/>
    <cellStyle name="60% - Accent4 3 2" xfId="2280" xr:uid="{3C508C34-BD03-4890-A90C-75820BE9F8C5}"/>
    <cellStyle name="60% - Accent4 3 3" xfId="2281" xr:uid="{4E61FC62-11CC-4D64-ABB8-687E39CB8F54}"/>
    <cellStyle name="60% - Accent4 3 4" xfId="2279" xr:uid="{E7C19865-1607-4308-8918-A9EE4802504E}"/>
    <cellStyle name="60% - Accent4 4" xfId="322" xr:uid="{55B6F08B-7D92-4A8E-B30C-65C9C70CD56A}"/>
    <cellStyle name="60% - Accent4 4 2" xfId="2283" xr:uid="{D4CD7BF0-65EA-4CF9-A4AE-FA5F9F16EA43}"/>
    <cellStyle name="60% - Accent4 4 3" xfId="2282" xr:uid="{2D84014F-CA21-4A02-A797-1F6E1BD4E183}"/>
    <cellStyle name="60% - Accent4 5" xfId="323" xr:uid="{62F88DA3-F11D-4E51-9969-77F5BDD6C53F}"/>
    <cellStyle name="60% - Accent4 5 2" xfId="2284" xr:uid="{4E46E653-C265-4545-80AB-97389873A276}"/>
    <cellStyle name="60% - Accent4 6" xfId="324" xr:uid="{7155239E-D1BE-44CB-8A50-536C5CC3A744}"/>
    <cellStyle name="60% - Accent4 6 2" xfId="2285" xr:uid="{8E81DFB8-276F-4BB5-A83E-68D19F3711F4}"/>
    <cellStyle name="60% - Accent4 7" xfId="325" xr:uid="{D393407F-B740-4E6D-B506-76010AAD788B}"/>
    <cellStyle name="60% - Accent4 7 2" xfId="2286" xr:uid="{E3842D55-123C-4168-87CB-E0F22D658E88}"/>
    <cellStyle name="60% - Accent4 8" xfId="326" xr:uid="{66A852E5-31EB-4F6D-8728-E8A2B5CE781F}"/>
    <cellStyle name="60% - Accent4 8 2" xfId="2287" xr:uid="{FED1368A-5EAB-453C-BB7B-5A0FD939D67E}"/>
    <cellStyle name="60% - Accent4 9" xfId="327" xr:uid="{BA84BE9B-99F1-4CD6-9C7E-856F335BE3C2}"/>
    <cellStyle name="60% - Accent4 9 2" xfId="2288" xr:uid="{6FA4BC0B-7888-42CF-9DED-0E3FC767005D}"/>
    <cellStyle name="60% - Accent5 10" xfId="328" xr:uid="{A963E034-9E64-4E89-B8F0-F115F5AAA65A}"/>
    <cellStyle name="60% - Accent5 11" xfId="329" xr:uid="{904852EA-FFB1-47CB-AE94-51F5FBF89AAD}"/>
    <cellStyle name="60% - Accent5 12" xfId="330" xr:uid="{50A01703-8CA0-48E6-98FA-415610CB0F41}"/>
    <cellStyle name="60% - Accent5 13" xfId="331" xr:uid="{E0836346-B2E1-46BA-BA3D-166D1B4193B2}"/>
    <cellStyle name="60% - Accent5 14" xfId="332" xr:uid="{31B79357-0BC4-418C-8617-8F732A50488E}"/>
    <cellStyle name="60% - Accent5 15" xfId="333" xr:uid="{4561D9AC-BAD1-4061-9A9F-6F4CC6D8E7BC}"/>
    <cellStyle name="60% - Accent5 16" xfId="785" xr:uid="{62921C0F-003F-4EB3-82B7-62379FA6FA2F}"/>
    <cellStyle name="60% - Accent5 2" xfId="39" xr:uid="{00000000-0005-0000-0000-000019000000}"/>
    <cellStyle name="60% - Accent5 2 2" xfId="833" xr:uid="{81D9616E-F32A-4263-8427-204776A10764}"/>
    <cellStyle name="60% - Accent5 2 2 2" xfId="2291" xr:uid="{6673137F-896C-4351-9FC0-98EE9C734EE7}"/>
    <cellStyle name="60% - Accent5 2 2 3" xfId="2290" xr:uid="{28756416-F3BC-4630-9696-ED27AC07260A}"/>
    <cellStyle name="60% - Accent5 2 3" xfId="334" xr:uid="{2B160FDD-523E-44FA-BBF2-A885ABBFA819}"/>
    <cellStyle name="60% - Accent5 2 3 2" xfId="2293" xr:uid="{BA3AF3CB-76ED-4DD7-904A-FE696148B6F3}"/>
    <cellStyle name="60% - Accent5 2 3 3" xfId="2292" xr:uid="{9E7E1198-0A34-4A3A-A658-E573A43C6C0B}"/>
    <cellStyle name="60% - Accent5 2 4" xfId="2294" xr:uid="{42933BAE-B502-4E62-9316-57DA99A3A8DE}"/>
    <cellStyle name="60% - Accent5 2 5" xfId="2295" xr:uid="{FE02C354-F2B5-48C9-BE9B-295F5F72686B}"/>
    <cellStyle name="60% - Accent5 2 6" xfId="2296" xr:uid="{6F3FA976-7347-485E-A997-7F414C65E56E}"/>
    <cellStyle name="60% - Accent5 2 7" xfId="2289" xr:uid="{382DEDDC-C75A-4933-9719-78D2B2DF152B}"/>
    <cellStyle name="60% - Accent5 3" xfId="335" xr:uid="{228875CA-4A37-4DD6-B065-693F85C8A0B2}"/>
    <cellStyle name="60% - Accent5 3 2" xfId="2298" xr:uid="{AA8F911C-CA7F-44B2-A4B1-5CAB9B508ED0}"/>
    <cellStyle name="60% - Accent5 3 3" xfId="2299" xr:uid="{83207BFA-4B4E-4B52-9FE0-E11FC5A08F0F}"/>
    <cellStyle name="60% - Accent5 3 4" xfId="2297" xr:uid="{56D8639E-6EB8-45FE-BF8B-122E69E8C727}"/>
    <cellStyle name="60% - Accent5 4" xfId="336" xr:uid="{03B501A0-8915-47F7-989C-079DCC58520A}"/>
    <cellStyle name="60% - Accent5 4 2" xfId="2301" xr:uid="{F4ED5F2B-F93D-4061-A94A-5ED7270EF63E}"/>
    <cellStyle name="60% - Accent5 4 3" xfId="2300" xr:uid="{83435EFD-89E7-4D66-BE8F-FA99D999D60C}"/>
    <cellStyle name="60% - Accent5 5" xfId="337" xr:uid="{DBBAEAE6-E755-4C0F-8909-F7E95E331556}"/>
    <cellStyle name="60% - Accent5 5 2" xfId="2302" xr:uid="{98F5125A-BAC4-4F71-9854-99649835A36A}"/>
    <cellStyle name="60% - Accent5 6" xfId="338" xr:uid="{6CBDED8D-5F78-4A1E-8FDF-5124269990F2}"/>
    <cellStyle name="60% - Accent5 6 2" xfId="2303" xr:uid="{1F7686A7-A57E-4D6F-B6EB-43D5C1C64834}"/>
    <cellStyle name="60% - Accent5 7" xfId="339" xr:uid="{BA493134-E102-4C9E-BCA2-4E827A30352D}"/>
    <cellStyle name="60% - Accent5 8" xfId="340" xr:uid="{E5CCAB94-2F4B-4054-831E-E7E2F9CD2073}"/>
    <cellStyle name="60% - Accent5 9" xfId="341" xr:uid="{3B976BA8-CF6A-4E3E-8FE9-9FE1A613DF8A}"/>
    <cellStyle name="60% - Accent6 10" xfId="342" xr:uid="{DC2C7613-3F0A-49D1-AD17-3285665FC348}"/>
    <cellStyle name="60% - Accent6 10 2" xfId="2304" xr:uid="{E3D18B85-CCF1-4A32-A2F1-333DF6C7DFBB}"/>
    <cellStyle name="60% - Accent6 11" xfId="343" xr:uid="{8EB07F71-F72B-44EE-A412-CA0C9E9CCEB9}"/>
    <cellStyle name="60% - Accent6 11 2" xfId="2305" xr:uid="{7BD5C7B8-38B1-4B3A-A850-2F3E6DED0C26}"/>
    <cellStyle name="60% - Accent6 12" xfId="344" xr:uid="{CEA9548B-BB37-42BD-8290-27DFFFF7464D}"/>
    <cellStyle name="60% - Accent6 12 2" xfId="2306" xr:uid="{BAC0F787-06E3-4577-9E21-804D99446E1C}"/>
    <cellStyle name="60% - Accent6 13" xfId="345" xr:uid="{05E0F87D-45F8-4B63-A506-191888AD78D6}"/>
    <cellStyle name="60% - Accent6 13 2" xfId="2307" xr:uid="{44A39B46-C0B4-4386-A85D-BC9B562A6AD7}"/>
    <cellStyle name="60% - Accent6 14" xfId="346" xr:uid="{EDB37D45-0450-4071-AD0E-5EF631CD35AC}"/>
    <cellStyle name="60% - Accent6 14 2" xfId="2308" xr:uid="{EC5ABC94-9F68-4CD3-A5F2-684D1AB586AB}"/>
    <cellStyle name="60% - Accent6 15" xfId="347" xr:uid="{6C7DF8D5-D93F-4C3F-8A1B-B840732D2150}"/>
    <cellStyle name="60% - Accent6 15 2" xfId="2309" xr:uid="{82A53A5B-A3F5-4B60-A521-A204D215FEE9}"/>
    <cellStyle name="60% - Accent6 16" xfId="786" xr:uid="{AC620523-7C15-4129-8994-447C11F011E2}"/>
    <cellStyle name="60% - Accent6 16 2" xfId="2310" xr:uid="{86ABB4C5-4440-4E25-9D5C-8D6CFC4295B7}"/>
    <cellStyle name="60% - Accent6 2" xfId="40" xr:uid="{00000000-0005-0000-0000-00001A000000}"/>
    <cellStyle name="60% - Accent6 2 2" xfId="837" xr:uid="{C211F60E-4F1E-462D-90B1-D1C59A7CA834}"/>
    <cellStyle name="60% - Accent6 2 2 2" xfId="2313" xr:uid="{EF9447D3-CC05-44CD-9222-8B18F247CE9C}"/>
    <cellStyle name="60% - Accent6 2 2 3" xfId="2312" xr:uid="{38F3BFA7-3704-45F8-B8A2-EDF1D4235B86}"/>
    <cellStyle name="60% - Accent6 2 3" xfId="348" xr:uid="{8FEDC37A-83AA-453F-B9D4-61E8375107AA}"/>
    <cellStyle name="60% - Accent6 2 3 2" xfId="2315" xr:uid="{6D1EA30A-96E1-45B2-99DE-DB9A8129B8BD}"/>
    <cellStyle name="60% - Accent6 2 3 3" xfId="2314" xr:uid="{74BC0A1E-6329-4327-91FF-8025C58789F1}"/>
    <cellStyle name="60% - Accent6 2 4" xfId="2316" xr:uid="{9179506F-AD93-4923-A53E-64C2041E0EE2}"/>
    <cellStyle name="60% - Accent6 2 5" xfId="2317" xr:uid="{A40F204C-985F-4557-8FA8-ABD996FEB285}"/>
    <cellStyle name="60% - Accent6 2 6" xfId="2318" xr:uid="{02FB3E57-8462-4B29-B287-33D63643D305}"/>
    <cellStyle name="60% - Accent6 2 7" xfId="2311" xr:uid="{38CE2D5A-38BF-4C77-B6D6-E693F56B8141}"/>
    <cellStyle name="60% - Accent6 3" xfId="349" xr:uid="{A63D4885-BA94-4853-A7BD-AFFFAC1920B8}"/>
    <cellStyle name="60% - Accent6 3 2" xfId="2320" xr:uid="{A61B2354-E289-43E7-B849-381337EBCA6B}"/>
    <cellStyle name="60% - Accent6 3 3" xfId="2321" xr:uid="{6FB69E6E-754F-4338-997E-633A299F79D4}"/>
    <cellStyle name="60% - Accent6 3 4" xfId="2319" xr:uid="{95CBF943-5FCB-4618-914F-B730C0BBF22E}"/>
    <cellStyle name="60% - Accent6 4" xfId="350" xr:uid="{8A3CFC16-1705-4DF2-8A6F-AA9875D68BA0}"/>
    <cellStyle name="60% - Accent6 4 2" xfId="2323" xr:uid="{91156364-7EE9-48BC-9FC6-5324D45CE605}"/>
    <cellStyle name="60% - Accent6 4 3" xfId="2322" xr:uid="{A1244805-DADE-4146-8E9D-FBAE4269B0A8}"/>
    <cellStyle name="60% - Accent6 5" xfId="351" xr:uid="{DB292F6C-AB35-4BEF-B436-04DCF7815BDF}"/>
    <cellStyle name="60% - Accent6 5 2" xfId="2324" xr:uid="{5DDA595E-B22E-4046-8F1A-E7DA0691DDE0}"/>
    <cellStyle name="60% - Accent6 6" xfId="352" xr:uid="{5024521E-5F69-4CDE-8085-03959B8B9E73}"/>
    <cellStyle name="60% - Accent6 6 2" xfId="2325" xr:uid="{C36CA03D-4BB2-4F09-A2A2-D63F859984C7}"/>
    <cellStyle name="60% - Accent6 7" xfId="353" xr:uid="{A2573E77-FB71-4184-9A07-0F342EA9BCFD}"/>
    <cellStyle name="60% - Accent6 7 2" xfId="2326" xr:uid="{BC3B2F90-23F5-4396-A645-A45E015A5263}"/>
    <cellStyle name="60% - Accent6 8" xfId="354" xr:uid="{FF57B009-A40C-4C40-AD15-1BD3894F9A34}"/>
    <cellStyle name="60% - Accent6 8 2" xfId="2327" xr:uid="{A24A5A19-5FAA-4603-853A-F5658646C5A5}"/>
    <cellStyle name="60% - Accent6 9" xfId="355" xr:uid="{7F460525-0B9B-431B-AC5C-1E2EE8771FBF}"/>
    <cellStyle name="60% - Accent6 9 2" xfId="2328" xr:uid="{8574A18B-F1C2-4062-B679-DA014F2C5550}"/>
    <cellStyle name="Accent1 10" xfId="356" xr:uid="{5D702F71-5298-448D-95F3-3C43CD194A53}"/>
    <cellStyle name="Accent1 10 2" xfId="2329" xr:uid="{8937BEA9-71A8-47C3-BBB4-E946C66553E6}"/>
    <cellStyle name="Accent1 11" xfId="357" xr:uid="{85567DA3-A5FA-4720-9124-13817F6F24CF}"/>
    <cellStyle name="Accent1 11 2" xfId="2330" xr:uid="{6A468818-41D2-4308-B7AE-F099F2072D0D}"/>
    <cellStyle name="Accent1 12" xfId="358" xr:uid="{9F8CB846-DD76-474F-9C05-DE4B0B7C6A62}"/>
    <cellStyle name="Accent1 12 2" xfId="2331" xr:uid="{083F9C58-B619-4A6A-AFED-55EE4D60C335}"/>
    <cellStyle name="Accent1 13" xfId="359" xr:uid="{D44710D6-FEB4-4B8E-AA73-202B4284C3C8}"/>
    <cellStyle name="Accent1 13 2" xfId="2332" xr:uid="{D93795EA-B950-46A5-8C96-7CB805929D5F}"/>
    <cellStyle name="Accent1 14" xfId="360" xr:uid="{422053BA-6D94-4F2E-A1B1-ABAC4525B803}"/>
    <cellStyle name="Accent1 14 2" xfId="2333" xr:uid="{54B45575-89C8-4261-92FC-EE76FFBD8396}"/>
    <cellStyle name="Accent1 15" xfId="361" xr:uid="{A1875704-5ECE-4612-9772-19904B18B858}"/>
    <cellStyle name="Accent1 15 2" xfId="2334" xr:uid="{332CD7FF-51D2-4A81-8408-20BBE94756FF}"/>
    <cellStyle name="Accent1 16" xfId="787" xr:uid="{A97D7B3B-83A4-460F-AF58-77C7E8A85F3B}"/>
    <cellStyle name="Accent1 16 2" xfId="2335" xr:uid="{6BCAEB91-351F-4E0F-9DBA-2701E410DCE6}"/>
    <cellStyle name="Accent1 2" xfId="41" xr:uid="{00000000-0005-0000-0000-00001B000000}"/>
    <cellStyle name="Accent1 2 2" xfId="814" xr:uid="{D8C6A5BA-9C94-42E7-B238-00124BC1E5B7}"/>
    <cellStyle name="Accent1 2 2 2" xfId="2338" xr:uid="{8C5EA4C2-94F8-4DDF-85DA-603B8549F805}"/>
    <cellStyle name="Accent1 2 2 3" xfId="2337" xr:uid="{C6E59CB5-6455-455E-9CC8-7A9FF6455288}"/>
    <cellStyle name="Accent1 2 3" xfId="362" xr:uid="{A8C6951A-18E5-4626-BFDA-A274AA07EA64}"/>
    <cellStyle name="Accent1 2 3 2" xfId="2340" xr:uid="{9EED526F-52D8-4843-83B3-FEB8C80E58BF}"/>
    <cellStyle name="Accent1 2 3 3" xfId="2339" xr:uid="{8AD7D033-314F-4ED7-A119-0BF8C28E5E66}"/>
    <cellStyle name="Accent1 2 4" xfId="2341" xr:uid="{08E7E173-8BC8-4E44-A70A-3637EA121674}"/>
    <cellStyle name="Accent1 2 5" xfId="2342" xr:uid="{D7EDE8C9-F296-4C00-93FC-0630B3EF1D7C}"/>
    <cellStyle name="Accent1 2 6" xfId="2343" xr:uid="{54F8AB59-423B-421F-A0FE-B2A5A8D3FE30}"/>
    <cellStyle name="Accent1 2 7" xfId="2344" xr:uid="{C964083A-AC92-46E4-8F85-84D44AA57947}"/>
    <cellStyle name="Accent1 2 8" xfId="2336" xr:uid="{41C51798-61FD-4B45-8C78-0B983B4FD654}"/>
    <cellStyle name="Accent1 3" xfId="363" xr:uid="{A7AD30D4-1F8B-4798-A5E8-B007655B61F5}"/>
    <cellStyle name="Accent1 3 2" xfId="2346" xr:uid="{7947E1F7-ED42-4473-9980-7D7895A80E60}"/>
    <cellStyle name="Accent1 3 3" xfId="2347" xr:uid="{144040AE-00A2-42B0-A04C-63FE8D5F671A}"/>
    <cellStyle name="Accent1 3 4" xfId="2345" xr:uid="{BE06FF5F-1751-48F9-A3FF-1DC6EAAEF259}"/>
    <cellStyle name="Accent1 4" xfId="364" xr:uid="{F70D2A21-5E75-427B-9A49-C7879FEFE499}"/>
    <cellStyle name="Accent1 4 2" xfId="2349" xr:uid="{D40EB692-0847-4276-ADCF-6634FD8A12E7}"/>
    <cellStyle name="Accent1 4 3" xfId="2348" xr:uid="{E8CFF516-711F-4519-AE60-E87BC4836BCA}"/>
    <cellStyle name="Accent1 5" xfId="365" xr:uid="{195574B9-FA2C-4D0E-80EC-E9D2B3E99470}"/>
    <cellStyle name="Accent1 5 2" xfId="2350" xr:uid="{DC99F07A-F6FA-4C7C-AC81-6EE30A7CE48B}"/>
    <cellStyle name="Accent1 6" xfId="366" xr:uid="{35A9CE23-BAE9-4556-9CF8-319451A6CC0B}"/>
    <cellStyle name="Accent1 6 2" xfId="2351" xr:uid="{1E6139C8-F5A8-4493-9C52-4479E2A25C59}"/>
    <cellStyle name="Accent1 7" xfId="367" xr:uid="{A92F728B-D892-42C5-9F6B-7F264DED586E}"/>
    <cellStyle name="Accent1 7 2" xfId="2352" xr:uid="{05EA00F8-CB90-4B46-A5D8-5C8A35A91102}"/>
    <cellStyle name="Accent1 8" xfId="368" xr:uid="{C2C70A46-7D76-4ED2-BEF2-B25DB1E2677B}"/>
    <cellStyle name="Accent1 8 2" xfId="2353" xr:uid="{D1F330DA-4225-46AF-BA13-38F587E1C83F}"/>
    <cellStyle name="Accent1 9" xfId="369" xr:uid="{294B5A8D-A5E3-4272-8D09-3F68D8E68C21}"/>
    <cellStyle name="Accent1 9 2" xfId="2354" xr:uid="{173C9CCB-CAAB-4D21-BEC6-42151F66FEEB}"/>
    <cellStyle name="Accent2 10" xfId="370" xr:uid="{84FF7D4D-1E1C-4BE7-8B9F-039C2BC638A9}"/>
    <cellStyle name="Accent2 11" xfId="371" xr:uid="{843D242C-4647-4C9E-90FD-AE74BE489C3A}"/>
    <cellStyle name="Accent2 12" xfId="372" xr:uid="{603FEADC-D8F0-43D7-89C7-CC59CBF7E923}"/>
    <cellStyle name="Accent2 13" xfId="373" xr:uid="{4B6FC0B0-2125-4593-A694-6D0F2E126E5F}"/>
    <cellStyle name="Accent2 14" xfId="374" xr:uid="{B6DC7C0E-30F8-402E-BF60-5FCEC289BFE8}"/>
    <cellStyle name="Accent2 15" xfId="375" xr:uid="{89B64ED2-BDD2-4F72-A4CB-9C8121043CEC}"/>
    <cellStyle name="Accent2 16" xfId="788" xr:uid="{0F01D3EA-A884-46AF-AF28-8FBCB7DB4F43}"/>
    <cellStyle name="Accent2 2" xfId="42" xr:uid="{00000000-0005-0000-0000-00001C000000}"/>
    <cellStyle name="Accent2 2 2" xfId="818" xr:uid="{F4A32345-D18B-422B-9E95-E9D6BCBFA8DE}"/>
    <cellStyle name="Accent2 2 2 2" xfId="2357" xr:uid="{22879CAC-2A5E-4A30-97A7-7C395FFB14E0}"/>
    <cellStyle name="Accent2 2 2 3" xfId="2356" xr:uid="{08F9F54E-2B02-42FD-90D5-E90BB9063D88}"/>
    <cellStyle name="Accent2 2 3" xfId="376" xr:uid="{658ACFBF-F8A5-46A6-A4A8-BB00CA5F6D24}"/>
    <cellStyle name="Accent2 2 3 2" xfId="2359" xr:uid="{DC1B2045-D80D-4DC7-8A70-0B4D9527C5CB}"/>
    <cellStyle name="Accent2 2 3 3" xfId="2358" xr:uid="{DC576983-033D-4CDA-8E3D-EC990CDC02D3}"/>
    <cellStyle name="Accent2 2 4" xfId="2360" xr:uid="{CBB68267-C345-45D4-A315-CA144C4AB677}"/>
    <cellStyle name="Accent2 2 5" xfId="2361" xr:uid="{477C5320-3454-454D-B676-15A310ABD1E0}"/>
    <cellStyle name="Accent2 2 6" xfId="2362" xr:uid="{87EB7467-3465-471B-9AC0-9EC9E6B75F81}"/>
    <cellStyle name="Accent2 2 7" xfId="2363" xr:uid="{07D3BA8C-12B2-44DC-9B8B-98652F7E8BB3}"/>
    <cellStyle name="Accent2 2 8" xfId="2355" xr:uid="{839FCC63-DBA9-49D6-A7D2-90E2DEC56ED1}"/>
    <cellStyle name="Accent2 3" xfId="377" xr:uid="{0E04D4DB-0043-4EF3-B1DE-89D122024744}"/>
    <cellStyle name="Accent2 3 2" xfId="2365" xr:uid="{EAD8E930-3266-41CD-8DB9-306E4DB813A4}"/>
    <cellStyle name="Accent2 3 3" xfId="2366" xr:uid="{E73EAF32-64D9-41DC-A8AF-B221E258820A}"/>
    <cellStyle name="Accent2 3 4" xfId="2364" xr:uid="{03EC08E1-384F-4489-9B84-80407A18FFA3}"/>
    <cellStyle name="Accent2 4" xfId="378" xr:uid="{ABEA153E-575F-4599-8F2D-CDDDE8620568}"/>
    <cellStyle name="Accent2 4 2" xfId="2368" xr:uid="{A9316B93-7AF4-4F3C-843B-67E2F418FC6C}"/>
    <cellStyle name="Accent2 4 3" xfId="2367" xr:uid="{D42959A5-74D5-4AC8-822B-760B02D29C65}"/>
    <cellStyle name="Accent2 5" xfId="379" xr:uid="{B6F33499-F77A-45F7-88AF-FED3701ABE51}"/>
    <cellStyle name="Accent2 5 2" xfId="2369" xr:uid="{BE59137F-F437-4BE4-8333-426D93549EAF}"/>
    <cellStyle name="Accent2 6" xfId="380" xr:uid="{3C76C1D3-42D0-4088-9FDA-A18118ACC297}"/>
    <cellStyle name="Accent2 6 2" xfId="2370" xr:uid="{6FD5FE9F-F0AD-40CC-8470-6C8B9E3399CC}"/>
    <cellStyle name="Accent2 7" xfId="381" xr:uid="{FEC8E6FD-689B-4A71-A528-6A8837063972}"/>
    <cellStyle name="Accent2 8" xfId="382" xr:uid="{A356D243-8855-4D71-ADEC-7D7F568976C0}"/>
    <cellStyle name="Accent2 9" xfId="383" xr:uid="{505F449A-057A-4060-B5A3-641E3DC0385C}"/>
    <cellStyle name="Accent3 10" xfId="384" xr:uid="{45E2612A-F1E5-49CF-9998-716AE4C7E2F0}"/>
    <cellStyle name="Accent3 11" xfId="385" xr:uid="{951959F2-B7B1-44C7-9976-25CD33D5BCBE}"/>
    <cellStyle name="Accent3 12" xfId="386" xr:uid="{0CF52F73-80A2-426A-AD4F-B3553621461F}"/>
    <cellStyle name="Accent3 13" xfId="387" xr:uid="{31A39ED5-FA8D-421D-9FFA-5B9ACD37FF6B}"/>
    <cellStyle name="Accent3 14" xfId="388" xr:uid="{A947A20A-8F2B-4C56-BF86-4257791EADE9}"/>
    <cellStyle name="Accent3 15" xfId="389" xr:uid="{D41435EB-6E64-4382-8481-BF9E91CBCF12}"/>
    <cellStyle name="Accent3 16" xfId="789" xr:uid="{C8733DC0-B5E6-4232-9A49-46F93C0D4E4F}"/>
    <cellStyle name="Accent3 2" xfId="43" xr:uid="{00000000-0005-0000-0000-00001D000000}"/>
    <cellStyle name="Accent3 2 2" xfId="822" xr:uid="{B60E2D03-5380-4C79-985E-C82533A9F749}"/>
    <cellStyle name="Accent3 2 2 2" xfId="2373" xr:uid="{4664DBB0-7990-4624-8BE8-5B4244188554}"/>
    <cellStyle name="Accent3 2 2 3" xfId="2372" xr:uid="{A87083BC-C1A0-4985-A770-753A98C2387B}"/>
    <cellStyle name="Accent3 2 3" xfId="390" xr:uid="{2CBCA5EE-BE77-4470-897F-E80E0D5DF163}"/>
    <cellStyle name="Accent3 2 3 2" xfId="2375" xr:uid="{FD65230E-2BDE-439D-A4CA-DB689FB7547C}"/>
    <cellStyle name="Accent3 2 3 3" xfId="2374" xr:uid="{50CE4C5E-5779-4232-8C0A-6EBC2593D71F}"/>
    <cellStyle name="Accent3 2 4" xfId="2376" xr:uid="{6BC33AFB-D70B-4530-903C-3C561629C8B8}"/>
    <cellStyle name="Accent3 2 5" xfId="2377" xr:uid="{224071FB-306D-407C-AA4D-6C02FEF157B1}"/>
    <cellStyle name="Accent3 2 6" xfId="2378" xr:uid="{35CB817F-0459-4A1F-BA87-0BD499304688}"/>
    <cellStyle name="Accent3 2 7" xfId="2379" xr:uid="{DF148C6C-84F0-445F-9EE4-7081E1CD7B79}"/>
    <cellStyle name="Accent3 2 8" xfId="2371" xr:uid="{ED3C6499-FC7E-4299-9593-A5B5F04CCB53}"/>
    <cellStyle name="Accent3 3" xfId="391" xr:uid="{7E5E41E5-0AAC-4B04-8490-B57402A0F4BA}"/>
    <cellStyle name="Accent3 3 2" xfId="2381" xr:uid="{D2EEEB50-34E8-4D22-994C-5A0DBF5817D4}"/>
    <cellStyle name="Accent3 3 3" xfId="2382" xr:uid="{D1484F13-F5FB-45C1-813C-35E9EBF869D6}"/>
    <cellStyle name="Accent3 3 4" xfId="2380" xr:uid="{F71F3720-1486-4CF4-9B1B-B855EA71F162}"/>
    <cellStyle name="Accent3 4" xfId="392" xr:uid="{F95D2CCE-8F67-4454-A2EA-427DF7044C56}"/>
    <cellStyle name="Accent3 4 2" xfId="2384" xr:uid="{BDB3E029-253E-4E90-A004-48A0B69DDFEA}"/>
    <cellStyle name="Accent3 4 3" xfId="2383" xr:uid="{BF1A2AEC-35EA-424A-978B-A05574AF8B83}"/>
    <cellStyle name="Accent3 5" xfId="393" xr:uid="{904401F1-D588-4BF1-8332-30B44D2882A5}"/>
    <cellStyle name="Accent3 5 2" xfId="2385" xr:uid="{EFEC5C05-498D-4CEB-9A65-20B534B63401}"/>
    <cellStyle name="Accent3 6" xfId="394" xr:uid="{51445725-488F-4395-9089-4CD2E9935CCB}"/>
    <cellStyle name="Accent3 6 2" xfId="2386" xr:uid="{DB46E9E5-C2B9-47AC-8AFA-0A83A101FAEE}"/>
    <cellStyle name="Accent3 7" xfId="395" xr:uid="{87034619-7FBA-4BB6-9FD6-0BA43CF303E0}"/>
    <cellStyle name="Accent3 8" xfId="396" xr:uid="{95F92697-F1BE-4802-8AD6-BB4B4CC0E381}"/>
    <cellStyle name="Accent3 9" xfId="397" xr:uid="{1DC0A8BC-6398-46E9-BA7D-385A0F1E2629}"/>
    <cellStyle name="Accent4 10" xfId="398" xr:uid="{0846C6B3-8DC3-40E9-B253-B876D99D423F}"/>
    <cellStyle name="Accent4 10 2" xfId="2387" xr:uid="{FCE00729-5978-41BF-B3CA-9E8AA2F549AD}"/>
    <cellStyle name="Accent4 11" xfId="399" xr:uid="{AA8A6EFE-68D5-4939-8663-F4C12ECA1874}"/>
    <cellStyle name="Accent4 11 2" xfId="2388" xr:uid="{16A90B9C-B021-44BE-961E-7EFB5DA6159D}"/>
    <cellStyle name="Accent4 12" xfId="400" xr:uid="{BCCE4523-5EAE-4B0A-A908-B2BEF07910AA}"/>
    <cellStyle name="Accent4 12 2" xfId="2389" xr:uid="{B1A8324D-48AA-4C99-89CD-D35F32B50B8A}"/>
    <cellStyle name="Accent4 13" xfId="401" xr:uid="{BE8BA843-2C3B-498E-AA84-AF0EEA4A9D08}"/>
    <cellStyle name="Accent4 13 2" xfId="2390" xr:uid="{81948A46-05D8-43DE-8414-22C6DB63F483}"/>
    <cellStyle name="Accent4 14" xfId="402" xr:uid="{2942FC04-1DCE-4A87-932C-CDFCD7D8C80D}"/>
    <cellStyle name="Accent4 14 2" xfId="2391" xr:uid="{A5B99604-02FE-4525-A6DA-690B67304F8B}"/>
    <cellStyle name="Accent4 15" xfId="403" xr:uid="{CA723D49-D18A-40A2-B08B-E9563211ABCA}"/>
    <cellStyle name="Accent4 15 2" xfId="2392" xr:uid="{8034C123-8264-4D6C-B11A-70035D3ADD9E}"/>
    <cellStyle name="Accent4 16" xfId="871" xr:uid="{A6928AFA-45D5-4ECE-B72F-01121C16BFEF}"/>
    <cellStyle name="Accent4 16 2" xfId="2393" xr:uid="{88DCA4BD-1423-435F-81FC-BC3D031196AA}"/>
    <cellStyle name="Accent4 2" xfId="44" xr:uid="{00000000-0005-0000-0000-00001E000000}"/>
    <cellStyle name="Accent4 2 2" xfId="826" xr:uid="{46F873C4-B866-4F77-AF9B-F232FFBB5B98}"/>
    <cellStyle name="Accent4 2 2 2" xfId="2396" xr:uid="{B41F85E3-5B3C-4D11-8194-7156F6CFB8D3}"/>
    <cellStyle name="Accent4 2 2 3" xfId="2395" xr:uid="{4EEC94A7-A2D0-4D5A-8835-4A89D911D9CA}"/>
    <cellStyle name="Accent4 2 3" xfId="404" xr:uid="{975A9701-FA0E-4A13-B8DD-CDF2819CD5A2}"/>
    <cellStyle name="Accent4 2 3 2" xfId="2398" xr:uid="{33468CAC-D12A-4E60-A40B-3A2009C64948}"/>
    <cellStyle name="Accent4 2 3 3" xfId="2397" xr:uid="{A7145F8F-3F07-4D63-BCB5-2312736FCE07}"/>
    <cellStyle name="Accent4 2 4" xfId="2399" xr:uid="{33AFA998-4ED3-47D8-B640-853F6BDE21BF}"/>
    <cellStyle name="Accent4 2 5" xfId="2400" xr:uid="{921905D4-8484-4348-A3C9-C9261C474792}"/>
    <cellStyle name="Accent4 2 6" xfId="2401" xr:uid="{C874A2C5-7237-4FD7-A2E4-79360B3FDB23}"/>
    <cellStyle name="Accent4 2 7" xfId="2402" xr:uid="{E3AEE5FA-3860-4392-A600-AAA1FACCBDE7}"/>
    <cellStyle name="Accent4 2 8" xfId="2394" xr:uid="{754524C4-7D16-4934-AD68-08DFADAD2969}"/>
    <cellStyle name="Accent4 3" xfId="405" xr:uid="{5B4974FB-59DB-46B5-BB8E-1D441665E735}"/>
    <cellStyle name="Accent4 3 2" xfId="2404" xr:uid="{18370608-26FE-47CD-A06F-1A003886880A}"/>
    <cellStyle name="Accent4 3 3" xfId="2405" xr:uid="{F1C7780D-000E-44AB-B0EB-3B6942C24EE2}"/>
    <cellStyle name="Accent4 3 4" xfId="2403" xr:uid="{B1B545FF-FD37-4CA7-A96C-BA4F9CD95770}"/>
    <cellStyle name="Accent4 4" xfId="406" xr:uid="{F373D766-E62C-4E35-B388-048F69949A2A}"/>
    <cellStyle name="Accent4 4 2" xfId="2407" xr:uid="{AD19EF95-7A97-4A61-B0AA-740B09A9F2AC}"/>
    <cellStyle name="Accent4 4 3" xfId="2406" xr:uid="{B32AEABD-8568-407A-9EA7-FD23280E7287}"/>
    <cellStyle name="Accent4 5" xfId="407" xr:uid="{2737E294-DCBF-46EF-86B0-FE5C12C02CAA}"/>
    <cellStyle name="Accent4 5 2" xfId="2408" xr:uid="{FEE7815C-0136-4876-B66E-835CB21F9B6A}"/>
    <cellStyle name="Accent4 6" xfId="408" xr:uid="{107DD55B-0855-48BB-8177-89B07261A147}"/>
    <cellStyle name="Accent4 6 2" xfId="2409" xr:uid="{A5C98145-F6D5-4BF4-9601-748F4E12499C}"/>
    <cellStyle name="Accent4 7" xfId="409" xr:uid="{0B450E02-87F3-46FC-ABCF-14FF49675432}"/>
    <cellStyle name="Accent4 7 2" xfId="2410" xr:uid="{2E9655AE-0754-4DE3-A7FA-8BD49468D964}"/>
    <cellStyle name="Accent4 8" xfId="410" xr:uid="{FA4F0027-AB48-4607-A2C9-2F6DFA011570}"/>
    <cellStyle name="Accent4 8 2" xfId="2411" xr:uid="{9A91E73A-F257-4277-9082-77388B1245A5}"/>
    <cellStyle name="Accent4 9" xfId="411" xr:uid="{8B350769-DEE4-4AA9-9969-CF5914B7C43B}"/>
    <cellStyle name="Accent4 9 2" xfId="2412" xr:uid="{D4677853-61FF-4840-AB18-385C62CD63CA}"/>
    <cellStyle name="Accent5" xfId="1535" builtinId="45" customBuiltin="1"/>
    <cellStyle name="Accent5 10" xfId="412" xr:uid="{64E3DEE8-54E1-4E9F-815B-D01BC9343BE8}"/>
    <cellStyle name="Accent5 11" xfId="413" xr:uid="{A1144569-983B-49D4-97FA-47DD60DF1F94}"/>
    <cellStyle name="Accent5 12" xfId="414" xr:uid="{562878AE-DB2E-4827-8199-027B77329B98}"/>
    <cellStyle name="Accent5 13" xfId="415" xr:uid="{EE017235-1C02-41B2-8D9B-E1885733A643}"/>
    <cellStyle name="Accent5 14" xfId="416" xr:uid="{B350A851-0856-4638-8406-23D404FCD8BF}"/>
    <cellStyle name="Accent5 15" xfId="417" xr:uid="{00914131-44F1-47F6-A633-AF50C11D9247}"/>
    <cellStyle name="Accent5 16" xfId="866" xr:uid="{6554CF10-4167-4B33-BF47-88337BEAA272}"/>
    <cellStyle name="Accent5 2" xfId="45" xr:uid="{00000000-0005-0000-0000-00001F000000}"/>
    <cellStyle name="Accent5 2 2" xfId="830" xr:uid="{7569D6EC-EB2F-4158-AB54-D4F60CF9ED0B}"/>
    <cellStyle name="Accent5 2 2 2" xfId="2415" xr:uid="{7F9D4634-5682-4C71-A9B5-82C3162C8D2E}"/>
    <cellStyle name="Accent5 2 2 3" xfId="2414" xr:uid="{01069922-2747-4C74-9B21-EC9BE407B8AD}"/>
    <cellStyle name="Accent5 2 3" xfId="418" xr:uid="{5179EA49-A272-41FC-993B-E4F55677CBC9}"/>
    <cellStyle name="Accent5 2 3 2" xfId="2417" xr:uid="{0ECA0298-F851-4ED6-8381-B261B09753F8}"/>
    <cellStyle name="Accent5 2 3 3" xfId="2416" xr:uid="{F8837573-BF1B-48F3-A424-A1CF28222782}"/>
    <cellStyle name="Accent5 2 4" xfId="2418" xr:uid="{443FF2DA-4F98-4AB8-9AFA-8F4E36608B69}"/>
    <cellStyle name="Accent5 2 5" xfId="2419" xr:uid="{784EDB8B-8733-46CC-9D25-2EB451A4E4A4}"/>
    <cellStyle name="Accent5 2 6" xfId="2420" xr:uid="{41A05FE0-721B-41C7-807F-4BBBF2AF3FA8}"/>
    <cellStyle name="Accent5 2 7" xfId="2413" xr:uid="{A27B6DEC-8FC4-4C32-AE00-8E88ED3AFDAF}"/>
    <cellStyle name="Accent5 3" xfId="419" xr:uid="{2D1C5A73-024B-4C15-B18B-3D645AB7F0C1}"/>
    <cellStyle name="Accent5 3 2" xfId="2422" xr:uid="{B5F7529C-B3D0-4844-AA21-2A4B006BE35C}"/>
    <cellStyle name="Accent5 3 3" xfId="2423" xr:uid="{64FB0B36-E684-405A-9129-32111C65BA81}"/>
    <cellStyle name="Accent5 3 4" xfId="2421" xr:uid="{FB886F88-5317-4155-A194-A526AB79EB82}"/>
    <cellStyle name="Accent5 4" xfId="420" xr:uid="{6800D9EF-155D-4AE6-942B-0EED17109F2A}"/>
    <cellStyle name="Accent5 4 2" xfId="2425" xr:uid="{5A4433B8-05B3-4FAF-900D-D5526A97FE8F}"/>
    <cellStyle name="Accent5 4 3" xfId="2424" xr:uid="{59D29531-1459-4760-B0C8-ABC7B12A021D}"/>
    <cellStyle name="Accent5 5" xfId="421" xr:uid="{7270F192-3905-4544-A9C9-2686AF21939D}"/>
    <cellStyle name="Accent5 5 2" xfId="2426" xr:uid="{7EC9C8D1-1D2A-4666-8ACB-10C1365E6F3D}"/>
    <cellStyle name="Accent5 6" xfId="422" xr:uid="{55C18A12-D324-472C-9022-BE401BF33F42}"/>
    <cellStyle name="Accent5 6 2" xfId="2427" xr:uid="{542D470B-5F44-414D-855D-0866EC1421F6}"/>
    <cellStyle name="Accent5 7" xfId="423" xr:uid="{671DBB28-BAA0-4308-95F0-4DE0137BDC9E}"/>
    <cellStyle name="Accent5 8" xfId="424" xr:uid="{6679B65E-5BFB-4FE7-8ADE-052325510415}"/>
    <cellStyle name="Accent5 9" xfId="425" xr:uid="{12E34B9E-05B6-4F21-A899-0C0A36736E6C}"/>
    <cellStyle name="Accent6 10" xfId="426" xr:uid="{5732E225-880B-4B24-BD7E-92655A9BE055}"/>
    <cellStyle name="Accent6 11" xfId="427" xr:uid="{FE1FB0D1-F152-4328-9B56-1AAF63E4E7EC}"/>
    <cellStyle name="Accent6 12" xfId="428" xr:uid="{9F90447A-26B8-4B1E-9139-D9E47F0344C5}"/>
    <cellStyle name="Accent6 13" xfId="429" xr:uid="{A7359480-AD64-405B-8B54-22F2CDC03D6B}"/>
    <cellStyle name="Accent6 14" xfId="430" xr:uid="{5DADB6C9-F700-4288-B5EE-846044C5E251}"/>
    <cellStyle name="Accent6 15" xfId="431" xr:uid="{2F5D5605-A8B0-44BB-AFAB-DEE06114F71F}"/>
    <cellStyle name="Accent6 16" xfId="870" xr:uid="{DC8A7880-3A36-41A4-A73A-F9DB1A061A43}"/>
    <cellStyle name="Accent6 2" xfId="46" xr:uid="{00000000-0005-0000-0000-000020000000}"/>
    <cellStyle name="Accent6 2 2" xfId="834" xr:uid="{3B96CDD7-EE3D-42E0-BFB4-03DD4B8BBD24}"/>
    <cellStyle name="Accent6 2 2 2" xfId="2430" xr:uid="{5868CEAF-6FC6-4169-B646-A336C9BACE7C}"/>
    <cellStyle name="Accent6 2 2 3" xfId="2429" xr:uid="{BC191767-CFFA-41E7-AF2F-7BE819883748}"/>
    <cellStyle name="Accent6 2 3" xfId="432" xr:uid="{A6EF0BCD-1951-4469-A103-C10605D9C201}"/>
    <cellStyle name="Accent6 2 3 2" xfId="2432" xr:uid="{EFBB39EA-D2A1-470B-AC66-015F1E827F3D}"/>
    <cellStyle name="Accent6 2 3 3" xfId="2431" xr:uid="{E18C3DA8-4B52-4818-B57C-2550607401E6}"/>
    <cellStyle name="Accent6 2 4" xfId="2433" xr:uid="{4540F9CE-88EB-4209-BB3B-090338ADAE49}"/>
    <cellStyle name="Accent6 2 5" xfId="2434" xr:uid="{549809B5-EA4A-4AEA-AE1F-D7F8AA9889AF}"/>
    <cellStyle name="Accent6 2 6" xfId="2435" xr:uid="{B50B231C-C04F-4053-905E-285CDDAD29CD}"/>
    <cellStyle name="Accent6 2 7" xfId="2436" xr:uid="{59A28209-E0D1-45F7-B4ED-34F1B4461A48}"/>
    <cellStyle name="Accent6 2 8" xfId="2428" xr:uid="{246A0006-BB3D-4C62-B17D-14343CC73C27}"/>
    <cellStyle name="Accent6 3" xfId="433" xr:uid="{937A6A4B-0827-42B7-94E1-ED48F95052E5}"/>
    <cellStyle name="Accent6 3 2" xfId="2438" xr:uid="{92038881-682F-40D8-9B41-E6CDF6D32564}"/>
    <cellStyle name="Accent6 3 3" xfId="2439" xr:uid="{3C290618-F8D8-43BA-8061-403E54207A41}"/>
    <cellStyle name="Accent6 3 4" xfId="2437" xr:uid="{821CC154-8155-4261-A83A-BA3676C1B5A1}"/>
    <cellStyle name="Accent6 4" xfId="434" xr:uid="{02437E66-BCE1-4A90-A9A2-DA098689900A}"/>
    <cellStyle name="Accent6 4 2" xfId="2441" xr:uid="{DD653AF4-80DA-40CA-932C-C8E2A9C27675}"/>
    <cellStyle name="Accent6 4 3" xfId="2440" xr:uid="{098BB484-354B-4942-8854-3B334257F073}"/>
    <cellStyle name="Accent6 5" xfId="435" xr:uid="{577460C7-DC19-4713-88DB-4CA0D0F9C622}"/>
    <cellStyle name="Accent6 5 2" xfId="2442" xr:uid="{6FE8CFCF-FF3C-4E4F-9219-1A3051ED00DB}"/>
    <cellStyle name="Accent6 6" xfId="436" xr:uid="{D59A24A9-41A8-46BF-B9B3-6D69CD3561C7}"/>
    <cellStyle name="Accent6 6 2" xfId="2443" xr:uid="{62DA20CF-B8BB-4A99-A5FE-EE0C985EAB83}"/>
    <cellStyle name="Accent6 7" xfId="437" xr:uid="{8CBEE71B-01B1-4BCD-B271-33421739FAFD}"/>
    <cellStyle name="Accent6 8" xfId="438" xr:uid="{B7D34C19-695B-432D-910D-448C2F6E7189}"/>
    <cellStyle name="Accent6 9" xfId="439" xr:uid="{9FD4DBF2-7929-4247-B3EE-5DBD075A23D5}"/>
    <cellStyle name="Bad 10" xfId="440" xr:uid="{566576D2-7204-4BE5-8BDC-957672F81708}"/>
    <cellStyle name="Bad 11" xfId="441" xr:uid="{559A247D-7B62-4A49-9CF0-FBF489CDC04A}"/>
    <cellStyle name="Bad 12" xfId="442" xr:uid="{BF16EEDD-25D2-4EA4-8E63-E658C7170B27}"/>
    <cellStyle name="Bad 13" xfId="443" xr:uid="{98093839-534A-40C9-93AC-6ED13E1668EA}"/>
    <cellStyle name="Bad 14" xfId="444" xr:uid="{BBFC7792-30AF-4045-8C74-F38D575C7A15}"/>
    <cellStyle name="Bad 15" xfId="445" xr:uid="{4C1240DB-66C6-4BAB-8C54-D3C7417CC4C7}"/>
    <cellStyle name="Bad 16" xfId="855" xr:uid="{B7F14968-FE81-46C2-9311-818578C2F573}"/>
    <cellStyle name="Bad 2" xfId="47" xr:uid="{00000000-0005-0000-0000-000021000000}"/>
    <cellStyle name="Bad 2 2" xfId="803" xr:uid="{74E993D3-BC7E-4377-88D7-775701107076}"/>
    <cellStyle name="Bad 2 2 2" xfId="2446" xr:uid="{DE23B9B4-56D1-4B23-BFD1-39B9FE75AF93}"/>
    <cellStyle name="Bad 2 2 3" xfId="2445" xr:uid="{1F7D3F76-0E35-4BD7-9E22-EB2AA875F460}"/>
    <cellStyle name="Bad 2 3" xfId="446" xr:uid="{41A6028F-ABDC-42B2-A98C-558E769DDBB8}"/>
    <cellStyle name="Bad 2 3 2" xfId="2448" xr:uid="{EC81F99F-E9DC-4BE4-8924-591A1F198C84}"/>
    <cellStyle name="Bad 2 3 3" xfId="2447" xr:uid="{340FB6E5-51AB-4E32-89E3-74D08AB26EF5}"/>
    <cellStyle name="Bad 2 4" xfId="2449" xr:uid="{905C0D5D-FB5C-4BC3-99D1-994155E8E912}"/>
    <cellStyle name="Bad 2 5" xfId="2450" xr:uid="{878BD53A-60ED-4964-BED0-270931D18049}"/>
    <cellStyle name="Bad 2 6" xfId="2451" xr:uid="{95509CD7-6B6C-4D1B-BE66-DD688EBD4B3B}"/>
    <cellStyle name="Bad 2 7" xfId="2444" xr:uid="{523735D1-4561-43B1-94AF-1B3DAAEE2F58}"/>
    <cellStyle name="Bad 3" xfId="447" xr:uid="{D76F6138-44C3-441E-875B-A4F2C607CE4C}"/>
    <cellStyle name="Bad 3 2" xfId="2453" xr:uid="{10E7D766-5C01-4BA9-B85B-4DB2439E79DC}"/>
    <cellStyle name="Bad 3 3" xfId="2454" xr:uid="{0A061AE4-2862-49BC-AE62-8CAD31BDD6E9}"/>
    <cellStyle name="Bad 3 4" xfId="2452" xr:uid="{593F95FA-3112-4EFE-B107-6AC987B85D3E}"/>
    <cellStyle name="Bad 4" xfId="448" xr:uid="{85042327-E6F6-4E0C-A834-E27C1FB2195B}"/>
    <cellStyle name="Bad 4 2" xfId="2456" xr:uid="{3D70F714-1C24-4B67-B915-F2FA6305062B}"/>
    <cellStyle name="Bad 4 3" xfId="2455" xr:uid="{EEFC0006-F066-4858-B4A6-D7BDEA64BF7D}"/>
    <cellStyle name="Bad 5" xfId="449" xr:uid="{71EA3BCB-4953-42EF-A94D-10BF71005792}"/>
    <cellStyle name="Bad 5 2" xfId="2457" xr:uid="{277BD7E7-0CED-4F7B-8B40-72AC9760D01D}"/>
    <cellStyle name="Bad 6" xfId="450" xr:uid="{EBC9A3A2-CE6B-425B-A05F-6EAEE22CBFDA}"/>
    <cellStyle name="Bad 6 2" xfId="2458" xr:uid="{48B81082-79CF-490D-85F2-032D53C426BC}"/>
    <cellStyle name="Bad 7" xfId="451" xr:uid="{0243F4B2-A7ED-47C9-8377-E8C0C97F2BB8}"/>
    <cellStyle name="Bad 8" xfId="452" xr:uid="{5A3E1F77-EF22-4CCE-BC13-7D962668A6D2}"/>
    <cellStyle name="Bad 9" xfId="453" xr:uid="{E5DAD6C6-2824-45DA-A0AF-07DD62140BD5}"/>
    <cellStyle name="Calculation 10" xfId="454" xr:uid="{B082A5D2-CBF8-447D-9EFD-F50F2FC0995D}"/>
    <cellStyle name="Calculation 10 2" xfId="2459" xr:uid="{13527332-A620-414E-9748-F0164C5D9890}"/>
    <cellStyle name="Calculation 11" xfId="455" xr:uid="{47971860-E666-4C29-97F9-161A08A9FF1E}"/>
    <cellStyle name="Calculation 11 2" xfId="2460" xr:uid="{5E6551A1-DC2A-4D7E-8934-F683A33D639D}"/>
    <cellStyle name="Calculation 12" xfId="456" xr:uid="{2FC89415-36AF-4353-B5B7-78192B53DA51}"/>
    <cellStyle name="Calculation 12 2" xfId="2461" xr:uid="{4330A457-C9D5-4118-8E44-91EA8F6857AB}"/>
    <cellStyle name="Calculation 13" xfId="457" xr:uid="{726743D5-765F-4053-A7B0-CF1E385961A9}"/>
    <cellStyle name="Calculation 13 2" xfId="2462" xr:uid="{4EE3E0CB-C541-4554-9E4D-628CB4F08C9E}"/>
    <cellStyle name="Calculation 14" xfId="458" xr:uid="{E82CFC78-EA29-42A0-8624-BC3BB0C4CF1B}"/>
    <cellStyle name="Calculation 14 2" xfId="2463" xr:uid="{38BE7D1F-AF5F-4E86-A8DE-9E7CB4539664}"/>
    <cellStyle name="Calculation 15" xfId="459" xr:uid="{599CDEE9-E7D5-4FCC-9B2A-54F4711FE356}"/>
    <cellStyle name="Calculation 15 2" xfId="2464" xr:uid="{F481E3F0-69FF-4AB4-BC54-8B231F620509}"/>
    <cellStyle name="Calculation 16" xfId="790" xr:uid="{712A35D0-6342-4FA3-89E2-CC72CF61E961}"/>
    <cellStyle name="Calculation 16 2" xfId="2465" xr:uid="{B841A64E-538B-4BF4-BD69-31FE8691B15B}"/>
    <cellStyle name="Calculation 2" xfId="48" xr:uid="{00000000-0005-0000-0000-000022000000}"/>
    <cellStyle name="Calculation 2 2" xfId="807" xr:uid="{B42AAE89-5EA0-4B4D-BAFF-47773D7B4CFD}"/>
    <cellStyle name="Calculation 2 2 2" xfId="2468" xr:uid="{35787713-DE1E-4380-B0C6-55D5E5E2CB01}"/>
    <cellStyle name="Calculation 2 2 3" xfId="2467" xr:uid="{080FD8AF-0DE7-4CCB-BCCF-28C46EF312D7}"/>
    <cellStyle name="Calculation 2 3" xfId="460" xr:uid="{C4C74B5B-8AE0-4EC3-9C78-1196B7B6FD0D}"/>
    <cellStyle name="Calculation 2 3 2" xfId="2470" xr:uid="{F4CAB96A-10FF-4E6C-AA1A-F7C07DAA6780}"/>
    <cellStyle name="Calculation 2 3 3" xfId="2469" xr:uid="{706C54E4-C10C-44DA-AC93-C5246ECAD030}"/>
    <cellStyle name="Calculation 2 4" xfId="2471" xr:uid="{66779077-6688-47D6-B517-8B4EEAC3D332}"/>
    <cellStyle name="Calculation 2 5" xfId="2472" xr:uid="{D764BBBC-4049-461B-945D-907379A9DF55}"/>
    <cellStyle name="Calculation 2 6" xfId="2473" xr:uid="{8A355FB3-C983-4776-B7C5-7CC4BFF128A6}"/>
    <cellStyle name="Calculation 2 7" xfId="2466" xr:uid="{0EAB0F7D-9440-4D4A-B76D-EE209EA7D0B2}"/>
    <cellStyle name="Calculation 3" xfId="461" xr:uid="{1F8CEF80-6E40-44C7-B96B-7343048F4087}"/>
    <cellStyle name="Calculation 3 2" xfId="2475" xr:uid="{5D5B1988-2686-473B-8959-ABE33ACB673E}"/>
    <cellStyle name="Calculation 3 3" xfId="2476" xr:uid="{4367C864-9ED4-4826-86E6-4FF518F332A6}"/>
    <cellStyle name="Calculation 3 4" xfId="2474" xr:uid="{67DBB770-B66E-4AB3-B336-3DEEA471C3FF}"/>
    <cellStyle name="Calculation 4" xfId="462" xr:uid="{701D28DE-684A-499C-A8BF-54C60C03DEAE}"/>
    <cellStyle name="Calculation 4 2" xfId="2478" xr:uid="{9F183183-746E-4000-9CD8-E67939989D9F}"/>
    <cellStyle name="Calculation 4 3" xfId="2477" xr:uid="{425DF638-8D04-4512-B0DC-A2959F5B7FB5}"/>
    <cellStyle name="Calculation 5" xfId="463" xr:uid="{408654D6-6674-41DB-91CE-F0969FF2081D}"/>
    <cellStyle name="Calculation 5 2" xfId="2479" xr:uid="{5F534B4A-6F92-4F3E-842D-5AA93C73446B}"/>
    <cellStyle name="Calculation 6" xfId="464" xr:uid="{5D482EDF-5266-43FF-9B1C-CBC5E37E3E6E}"/>
    <cellStyle name="Calculation 6 2" xfId="2480" xr:uid="{A3EC1643-25EC-478F-9510-663210B8D4D1}"/>
    <cellStyle name="Calculation 7" xfId="465" xr:uid="{083EBA3B-C5DE-464E-A820-DEC2E0B9B615}"/>
    <cellStyle name="Calculation 7 2" xfId="2481" xr:uid="{7F08F5B9-2F8B-4CE7-9B19-28A1F708DFAA}"/>
    <cellStyle name="Calculation 8" xfId="466" xr:uid="{B78FAE0F-4228-4CAA-8791-909755D8B289}"/>
    <cellStyle name="Calculation 8 2" xfId="2482" xr:uid="{674C3731-01AA-49BE-8FE8-B1D3E4E37351}"/>
    <cellStyle name="Calculation 9" xfId="467" xr:uid="{51BC4678-9144-4C80-A553-F021F0AAEB43}"/>
    <cellStyle name="Calculation 9 2" xfId="2483" xr:uid="{A819A44E-4919-4FA6-A0C0-F9B3AD436434}"/>
    <cellStyle name="Check Cell" xfId="1531" builtinId="23" customBuiltin="1"/>
    <cellStyle name="Check Cell 10" xfId="468" xr:uid="{997FE835-F944-429F-9F23-526FFEECE3BE}"/>
    <cellStyle name="Check Cell 11" xfId="469" xr:uid="{DF114F21-C2B3-403B-B0D3-2CC3E61E0EE8}"/>
    <cellStyle name="Check Cell 12" xfId="470" xr:uid="{339E30AC-96AA-4CBD-A482-6CC6FCE29AC4}"/>
    <cellStyle name="Check Cell 13" xfId="471" xr:uid="{76D427B1-8257-473F-9191-F6852C679A79}"/>
    <cellStyle name="Check Cell 14" xfId="472" xr:uid="{3EBAAF24-5E78-4BDD-AFFE-0605609C6746}"/>
    <cellStyle name="Check Cell 15" xfId="473" xr:uid="{E29C7AF3-6982-4C26-A85C-9CC17498033A}"/>
    <cellStyle name="Check Cell 16" xfId="851" xr:uid="{DA86EF6C-96DC-4468-A9D7-A2B132A5CBC6}"/>
    <cellStyle name="Check Cell 2" xfId="49" xr:uid="{00000000-0005-0000-0000-000023000000}"/>
    <cellStyle name="Check Cell 2 2" xfId="809" xr:uid="{0834D282-C2F0-4E40-9F46-AC121EABF6EC}"/>
    <cellStyle name="Check Cell 2 2 2" xfId="2486" xr:uid="{08D80102-5535-4511-8285-98EBA20BF28D}"/>
    <cellStyle name="Check Cell 2 2 3" xfId="2485" xr:uid="{A0754092-A922-420C-8E2B-281832E1B4F3}"/>
    <cellStyle name="Check Cell 2 3" xfId="474" xr:uid="{BBE0D81B-B04F-47B8-B9D9-7E418AE7ADCE}"/>
    <cellStyle name="Check Cell 2 3 2" xfId="2488" xr:uid="{8D74B6FF-3078-498D-B635-B9E03B3945AC}"/>
    <cellStyle name="Check Cell 2 3 3" xfId="2487" xr:uid="{96A58333-9F58-458E-942F-B0B0ED683441}"/>
    <cellStyle name="Check Cell 2 4" xfId="2489" xr:uid="{A5E61F93-DBA8-43B4-BB16-EDEE01B33127}"/>
    <cellStyle name="Check Cell 2 5" xfId="2490" xr:uid="{879D369B-C1C5-49E0-BD5A-D1305E29E198}"/>
    <cellStyle name="Check Cell 2 6" xfId="2491" xr:uid="{315F5B35-3779-4815-AF17-67DF0B5DA277}"/>
    <cellStyle name="Check Cell 2 7" xfId="2484" xr:uid="{AC73C384-AC04-4EAE-8533-42A5BF6C1322}"/>
    <cellStyle name="Check Cell 3" xfId="475" xr:uid="{DC684159-56B1-431F-9DF0-56BB473ACBA0}"/>
    <cellStyle name="Check Cell 3 2" xfId="2493" xr:uid="{056C184F-9FE5-4F9C-86E2-C45B5A4457EC}"/>
    <cellStyle name="Check Cell 3 3" xfId="2494" xr:uid="{517DE1C2-776E-4D3A-8A67-79745BEC9F7D}"/>
    <cellStyle name="Check Cell 3 4" xfId="2492" xr:uid="{883B61EE-8F56-40FF-B4F7-A433CDD2EF4E}"/>
    <cellStyle name="Check Cell 4" xfId="476" xr:uid="{F67AF96B-4B3A-4B61-B6F6-814D18FE2440}"/>
    <cellStyle name="Check Cell 4 2" xfId="2496" xr:uid="{2CCC08BD-33BA-49C0-90AA-4EAD968FC619}"/>
    <cellStyle name="Check Cell 4 3" xfId="2495" xr:uid="{93116E94-88FD-4E04-9FCE-09F0EE14F585}"/>
    <cellStyle name="Check Cell 5" xfId="477" xr:uid="{CB29AD73-0E65-4DA4-A542-081E7B0B7621}"/>
    <cellStyle name="Check Cell 5 2" xfId="2497" xr:uid="{3F982BD5-8EDA-4BD1-B648-B04A6CAAA00F}"/>
    <cellStyle name="Check Cell 6" xfId="478" xr:uid="{ABEDE31E-2C1B-4954-8E7C-7236B4512FFA}"/>
    <cellStyle name="Check Cell 6 2" xfId="2498" xr:uid="{C42C72A8-3CE3-4E07-8C7F-1D42BED2548D}"/>
    <cellStyle name="Check Cell 7" xfId="479" xr:uid="{991EF724-160F-4B20-A41E-4A1F071082EB}"/>
    <cellStyle name="Check Cell 8" xfId="480" xr:uid="{6A1F5257-F00B-4E36-AD85-EBEF8E88730A}"/>
    <cellStyle name="Check Cell 9" xfId="481" xr:uid="{6B69CF47-0A5A-46F4-9DAF-FB4BA3D27483}"/>
    <cellStyle name="Comma" xfId="1" builtinId="3"/>
    <cellStyle name="Comma 10" xfId="482" xr:uid="{8FECAEF1-0324-4522-B12C-14CA6AF8D6F9}"/>
    <cellStyle name="Comma 10 2" xfId="3828" xr:uid="{5D6915F5-92D0-493F-94FA-D01950E857CF}"/>
    <cellStyle name="Comma 10 3" xfId="2499" xr:uid="{C2012BD7-E50E-4371-9ADD-7BAE79750DDE}"/>
    <cellStyle name="Comma 11" xfId="2500" xr:uid="{4E737CE8-4A94-49EC-AC10-463B92D007A8}"/>
    <cellStyle name="Comma 11 2" xfId="3829" xr:uid="{E1074B6E-568F-4024-9341-99013F485BE4}"/>
    <cellStyle name="Comma 12" xfId="2501" xr:uid="{589DD366-C05F-4D42-9E93-0831B47BA15B}"/>
    <cellStyle name="Comma 13" xfId="2502" xr:uid="{6B378A5F-E622-4CF8-B17C-9C143DC9620E}"/>
    <cellStyle name="Comma 13 2" xfId="3830" xr:uid="{A8680A50-3785-4436-BDCB-4A7338D25F19}"/>
    <cellStyle name="Comma 14" xfId="2503" xr:uid="{9CA93732-D0BB-4825-9438-A41826F71AC4}"/>
    <cellStyle name="Comma 14 2" xfId="3831" xr:uid="{D57E0BF9-36DB-476A-8F0E-74C431364F6B}"/>
    <cellStyle name="Comma 15" xfId="2504" xr:uid="{FE9868DB-1D34-4DE8-8074-03D6F425C4A7}"/>
    <cellStyle name="Comma 16" xfId="2505" xr:uid="{E7C068CE-3E0A-4671-AD64-B046F595CA4C}"/>
    <cellStyle name="Comma 17" xfId="2506" xr:uid="{CAFA1DB0-A7AE-4077-92E0-C40C10E42DDA}"/>
    <cellStyle name="Comma 18" xfId="2507" xr:uid="{56343ECC-9BB8-4D41-B10E-C2ADAC7031C9}"/>
    <cellStyle name="Comma 19" xfId="2508" xr:uid="{ECE3A37F-740C-4DFB-BA7A-B640358EB220}"/>
    <cellStyle name="Comma 2" xfId="5" xr:uid="{00000000-0005-0000-0000-000025000000}"/>
    <cellStyle name="Comma 2 10" xfId="1527" xr:uid="{0BC537A4-BE34-44C8-AA9F-9D29E2B272D0}"/>
    <cellStyle name="Comma 2 11" xfId="2509" xr:uid="{A574745C-B1E1-47A4-A24E-15B1804D1898}"/>
    <cellStyle name="Comma 2 2" xfId="696" xr:uid="{5C884EC2-A2E8-4501-80D2-1AD62416BE05}"/>
    <cellStyle name="Comma 2 2 2" xfId="695" xr:uid="{45356556-BBB8-4BAC-AD32-6D82C625287D}"/>
    <cellStyle name="Comma 2 2 2 2" xfId="2511" xr:uid="{B96DB3E4-6E56-4D71-8B66-B3F59BAD2937}"/>
    <cellStyle name="Comma 2 2 3" xfId="2512" xr:uid="{1DCC9DB6-B838-4CAF-A0D3-A06412F95E1B}"/>
    <cellStyle name="Comma 2 2 4" xfId="2510" xr:uid="{8B6F8D0C-FA91-416F-B678-5816722DF311}"/>
    <cellStyle name="Comma 2 3" xfId="734" xr:uid="{27F51AD3-0C7D-4B0F-B4B0-08BB7C60AE6D}"/>
    <cellStyle name="Comma 2 3 2" xfId="2514" xr:uid="{31E5F940-88BD-480D-AF12-3E2517C3263D}"/>
    <cellStyle name="Comma 2 3 2 2" xfId="3832" xr:uid="{D0DAD74E-F04C-4F68-BDDF-E65A6B666E8F}"/>
    <cellStyle name="Comma 2 3 3" xfId="2515" xr:uid="{3F6883F8-7F39-42F6-9002-29911419182D}"/>
    <cellStyle name="Comma 2 3 4" xfId="2513" xr:uid="{D998A3C5-F4D3-420B-807B-09254D0F0808}"/>
    <cellStyle name="Comma 2 4" xfId="839" xr:uid="{51C41699-2F14-4740-B30A-17757AFCA611}"/>
    <cellStyle name="Comma 2 4 2" xfId="2517" xr:uid="{4117A5A3-E98D-4BA7-917D-2A0E56B6F351}"/>
    <cellStyle name="Comma 2 4 2 2" xfId="3833" xr:uid="{19595F20-6545-4BF4-857C-1A2A969F12B9}"/>
    <cellStyle name="Comma 2 4 3" xfId="2516" xr:uid="{C5DF83C4-4D1D-4DB0-BF4C-BD7E2FDD3975}"/>
    <cellStyle name="Comma 2 5" xfId="1529" xr:uid="{D042C698-5BF5-4C4E-A832-9FA411884923}"/>
    <cellStyle name="Comma 2 5 2" xfId="2519" xr:uid="{58D0F3F4-8BEE-40D1-9BB8-E72C219A50D6}"/>
    <cellStyle name="Comma 2 5 3" xfId="2518" xr:uid="{7659F384-E05D-45CA-9BE8-F2E8D52D67B5}"/>
    <cellStyle name="Comma 2 6" xfId="2520" xr:uid="{181A2C2E-0E4D-4526-B805-2A736C22EDF3}"/>
    <cellStyle name="Comma 2 6 2" xfId="2521" xr:uid="{AF231BC4-5798-41CF-99BE-42F560F633BE}"/>
    <cellStyle name="Comma 2 7" xfId="2522" xr:uid="{B5C988B0-46AC-4C45-9CE1-430C43DD91F8}"/>
    <cellStyle name="Comma 2 7 2" xfId="3834" xr:uid="{AE1DB914-2268-4652-8A4D-B00C1D280FD7}"/>
    <cellStyle name="Comma 2 8" xfId="2523" xr:uid="{F00F7832-F454-435E-A086-8E683760E4F6}"/>
    <cellStyle name="Comma 2 9" xfId="2524" xr:uid="{2FDA9F15-5154-4FB6-A6B3-AA3E226E2709}"/>
    <cellStyle name="Comma 2 9 2" xfId="3835" xr:uid="{DC2766E2-1892-4D41-B715-26E2F3145623}"/>
    <cellStyle name="Comma 3" xfId="6" xr:uid="{00000000-0005-0000-0000-000026000000}"/>
    <cellStyle name="Comma 3 2" xfId="50" xr:uid="{00000000-0005-0000-0000-000027000000}"/>
    <cellStyle name="Comma 3 2 2" xfId="845" xr:uid="{06F33135-4716-4593-9B2D-3B6B69144D17}"/>
    <cellStyle name="Comma 3 2 2 2" xfId="2528" xr:uid="{90AF06EC-7E08-4E6E-A69F-5047D3A476AF}"/>
    <cellStyle name="Comma 3 2 2 2 2" xfId="3836" xr:uid="{DB3233AC-0970-422A-900C-A12D4A5C05A5}"/>
    <cellStyle name="Comma 3 2 2 3" xfId="2529" xr:uid="{D6EC4F3B-F4F7-4295-BB8C-501CADBB4923}"/>
    <cellStyle name="Comma 3 2 2 4" xfId="2527" xr:uid="{FB441F04-CB8B-4346-A36D-2B2C10C5E25F}"/>
    <cellStyle name="Comma 3 2 3" xfId="697" xr:uid="{2385347A-A18A-44FB-B93F-BA54E6114382}"/>
    <cellStyle name="Comma 3 2 3 2" xfId="2530" xr:uid="{6905B9FE-2DE2-43E6-A83D-8DEBDF9195C1}"/>
    <cellStyle name="Comma 3 2 4" xfId="2526" xr:uid="{DBB74ECB-BDF5-4FB4-AC54-F32DF28554B4}"/>
    <cellStyle name="Comma 3 2 5" xfId="98" xr:uid="{00000000-0005-0000-0000-000028000000}"/>
    <cellStyle name="Comma 3 3" xfId="841" xr:uid="{6F3B3E26-3FC8-4A18-8614-A92B20C5AF9B}"/>
    <cellStyle name="Comma 3 3 2" xfId="2532" xr:uid="{8540211C-49DB-4479-94C6-B6D105A6C8D3}"/>
    <cellStyle name="Comma 3 3 3" xfId="2533" xr:uid="{9AD06E1B-8EBA-4EC6-B8E5-B5D5037B2B17}"/>
    <cellStyle name="Comma 3 3 4" xfId="2531" xr:uid="{A02073CD-29FD-41E8-9691-7DC340342B76}"/>
    <cellStyle name="Comma 3 4" xfId="1013" xr:uid="{93DBB256-1BC0-48FF-9C75-641FCC229582}"/>
    <cellStyle name="Comma 3 4 2" xfId="2535" xr:uid="{6B992C8F-1A56-4350-AD6E-8A888C844463}"/>
    <cellStyle name="Comma 3 4 2 2" xfId="3837" xr:uid="{99E41330-8C46-4333-9E75-B297F981A1DF}"/>
    <cellStyle name="Comma 3 4 3" xfId="2534" xr:uid="{1684D94B-342F-45C9-80EC-6C01E5AABC6A}"/>
    <cellStyle name="Comma 3 5" xfId="483" xr:uid="{F7718869-6A96-4AF3-81D7-69A99B2C7D27}"/>
    <cellStyle name="Comma 3 5 2" xfId="2536" xr:uid="{46A26991-14E7-4F20-8831-9B6845A08FCA}"/>
    <cellStyle name="Comma 3 6" xfId="2537" xr:uid="{FADA25FB-7D37-4C14-8B13-BA96DB7FDE77}"/>
    <cellStyle name="Comma 3 6 2" xfId="3838" xr:uid="{6BFFAEC8-0BCA-4328-A5D4-F54B9F9B98BD}"/>
    <cellStyle name="Comma 3 7" xfId="2538" xr:uid="{50D5761A-D19F-4835-B51F-EE6C7E152E5B}"/>
    <cellStyle name="Comma 3 8" xfId="2525" xr:uid="{4D001E0A-115E-4006-B110-5C7B2BD6BE29}"/>
    <cellStyle name="Comma 4" xfId="13" xr:uid="{00000000-0005-0000-0000-000029000000}"/>
    <cellStyle name="Comma 4 10" xfId="2539" xr:uid="{DE433A22-AEC8-4D49-8E3C-3C1A5CFF53AB}"/>
    <cellStyle name="Comma 4 2" xfId="718" xr:uid="{D0DD6974-E7F0-4910-AA4F-6BBA504B5857}"/>
    <cellStyle name="Comma 4 2 2" xfId="755" xr:uid="{F6DD45F6-AA08-4067-8760-3140FB1C46EE}"/>
    <cellStyle name="Comma 4 2 2 2" xfId="910" xr:uid="{AB3D9A1D-98A3-4322-A683-8C09853113F7}"/>
    <cellStyle name="Comma 4 2 2 2 2" xfId="1241" xr:uid="{AA2F7961-ECF3-4EBC-90A1-9D7D8B40F223}"/>
    <cellStyle name="Comma 4 2 2 2 2 2" xfId="1474" xr:uid="{21270ADF-E7D8-464A-BC26-DE8E50AFECD9}"/>
    <cellStyle name="Comma 4 2 2 2 3" xfId="1358" xr:uid="{BA5C24C9-1D6A-4368-8680-4AE2FCDC3F8B}"/>
    <cellStyle name="Comma 4 2 2 2 4" xfId="1122" xr:uid="{10FB19E0-5D9C-41C7-8B76-8FD8F1367963}"/>
    <cellStyle name="Comma 4 2 2 3" xfId="980" xr:uid="{124C35C6-121E-48BC-B4E2-4A86CAACA293}"/>
    <cellStyle name="Comma 4 2 2 3 2" xfId="1418" xr:uid="{E9D209CB-A116-47DC-82B1-A39F9EE0AFEE}"/>
    <cellStyle name="Comma 4 2 2 3 3" xfId="1185" xr:uid="{0326AC30-ABE8-4986-8663-1F0E856C12E3}"/>
    <cellStyle name="Comma 4 2 2 4" xfId="1302" xr:uid="{D8140800-B9AD-48FE-A30D-80226EB45111}"/>
    <cellStyle name="Comma 4 2 2 5" xfId="1065" xr:uid="{CD31EEDF-D1FF-431C-9685-02F421699DC0}"/>
    <cellStyle name="Comma 4 2 2 6" xfId="2541" xr:uid="{BB9908ED-167B-4F95-A16C-1B9E8C351CAC}"/>
    <cellStyle name="Comma 4 2 3" xfId="877" xr:uid="{911F8651-F3EA-4CE8-8564-FEF8B0403898}"/>
    <cellStyle name="Comma 4 2 3 2" xfId="1211" xr:uid="{DA551323-8739-4FD7-A3C1-37A7F4683952}"/>
    <cellStyle name="Comma 4 2 3 2 2" xfId="1444" xr:uid="{6D689856-4D13-4705-A1DF-6BA472F4AF93}"/>
    <cellStyle name="Comma 4 2 3 3" xfId="1328" xr:uid="{2664CE71-23FD-4C73-97D7-14BF4346EA3D}"/>
    <cellStyle name="Comma 4 2 3 4" xfId="1092" xr:uid="{F1050FED-08FE-46E5-A0B9-3619004886D2}"/>
    <cellStyle name="Comma 4 2 4" xfId="950" xr:uid="{537C12F2-00D3-490C-B1C6-0FF5719159D3}"/>
    <cellStyle name="Comma 4 2 4 2" xfId="1392" xr:uid="{C7AF5BEC-A755-4741-8E3C-C34268932174}"/>
    <cellStyle name="Comma 4 2 4 3" xfId="1159" xr:uid="{212B962E-FEA4-4A3E-9652-0DDE300E3E39}"/>
    <cellStyle name="Comma 4 2 5" xfId="1276" xr:uid="{D5CAA9EF-8912-4D00-BF61-F9BC7A4772B2}"/>
    <cellStyle name="Comma 4 2 6" xfId="1039" xr:uid="{CE49E489-05BC-4A71-8EC3-FD661246633E}"/>
    <cellStyle name="Comma 4 2 7" xfId="2540" xr:uid="{B89DE083-4E43-4BA5-9E4D-245B5F383BAB}"/>
    <cellStyle name="Comma 4 3" xfId="726" xr:uid="{67127201-94F5-40AA-8AE2-FB81460347C4}"/>
    <cellStyle name="Comma 4 3 2" xfId="763" xr:uid="{5B7EC4E5-ECF7-4B15-A09D-23B645B4F88C}"/>
    <cellStyle name="Comma 4 3 2 2" xfId="918" xr:uid="{E658FB33-1557-4651-8E1C-BA142126A1E8}"/>
    <cellStyle name="Comma 4 3 2 2 2" xfId="1249" xr:uid="{C596C76D-ECDE-4A0D-9747-26845C136FB2}"/>
    <cellStyle name="Comma 4 3 2 2 2 2" xfId="1482" xr:uid="{92D06D19-0813-437A-80F1-ED18C108F715}"/>
    <cellStyle name="Comma 4 3 2 2 3" xfId="1366" xr:uid="{A7B0B188-956E-4DBD-99A4-E5758BECC5FE}"/>
    <cellStyle name="Comma 4 3 2 2 4" xfId="1130" xr:uid="{8A0EEEAE-AE6C-4963-BBA5-59EDC018D60A}"/>
    <cellStyle name="Comma 4 3 2 2 5" xfId="3839" xr:uid="{9AC54595-EDC2-4C72-A334-C6A7DBF2C32D}"/>
    <cellStyle name="Comma 4 3 2 3" xfId="988" xr:uid="{C03078A6-19C3-4289-81C7-E8AA019F220E}"/>
    <cellStyle name="Comma 4 3 2 3 2" xfId="1426" xr:uid="{FFEE48A5-F665-4DF0-B7B7-4E37A8A4A939}"/>
    <cellStyle name="Comma 4 3 2 3 3" xfId="1193" xr:uid="{09AAF5DC-B974-42A4-AF2D-32BD1EC925FE}"/>
    <cellStyle name="Comma 4 3 2 4" xfId="1310" xr:uid="{AF59D94F-F15B-48EA-B21F-AC432AC23454}"/>
    <cellStyle name="Comma 4 3 2 5" xfId="1073" xr:uid="{26067BA4-3E55-4DA0-8E34-9551523DB588}"/>
    <cellStyle name="Comma 4 3 2 6" xfId="2543" xr:uid="{4E4C954D-4838-43AF-B094-7827F8D261C6}"/>
    <cellStyle name="Comma 4 3 3" xfId="885" xr:uid="{8A87DA2E-AA61-4561-B5E8-4813CC7D4658}"/>
    <cellStyle name="Comma 4 3 3 2" xfId="1219" xr:uid="{575DA251-2CA0-401E-B426-9076F102FB9E}"/>
    <cellStyle name="Comma 4 3 3 2 2" xfId="1452" xr:uid="{4E9F9CAD-E96D-4636-92B0-707D07BC2F48}"/>
    <cellStyle name="Comma 4 3 3 3" xfId="1336" xr:uid="{30E8549D-535B-4380-B876-0EE75E63C991}"/>
    <cellStyle name="Comma 4 3 3 4" xfId="1100" xr:uid="{047C5DE1-2659-45EB-A103-18F7B40CFCE4}"/>
    <cellStyle name="Comma 4 3 4" xfId="958" xr:uid="{85799808-3E9F-42A6-BF19-48433923D002}"/>
    <cellStyle name="Comma 4 3 4 2" xfId="1400" xr:uid="{0550F9F1-B02D-454E-94D7-589ACB208F92}"/>
    <cellStyle name="Comma 4 3 4 3" xfId="1167" xr:uid="{1C29E861-3E06-47A1-94E3-8AF606845AC6}"/>
    <cellStyle name="Comma 4 3 5" xfId="1284" xr:uid="{CF437CAC-360E-4884-AF60-368B11CB6458}"/>
    <cellStyle name="Comma 4 3 6" xfId="1047" xr:uid="{C0A5D906-73E8-49A9-A601-A6CE3F8B5C5D}"/>
    <cellStyle name="Comma 4 3 7" xfId="2542" xr:uid="{81554B2D-DDE2-49BF-8845-533D3B6FC602}"/>
    <cellStyle name="Comma 4 4" xfId="747" xr:uid="{0B9BCA44-DFFA-4CC3-A75B-421218FEFFE8}"/>
    <cellStyle name="Comma 4 4 2" xfId="902" xr:uid="{C8BDA6AB-74B3-4D08-A410-54F4E97BF3FC}"/>
    <cellStyle name="Comma 4 4 2 2" xfId="1233" xr:uid="{E77F1A97-F579-4335-A04C-D57E5835BC85}"/>
    <cellStyle name="Comma 4 4 2 2 2" xfId="1466" xr:uid="{A4D9D4A8-EF3C-496E-9E8D-C9F187AF6641}"/>
    <cellStyle name="Comma 4 4 2 3" xfId="1350" xr:uid="{19A4DDEC-1099-4BCC-BFB7-B0554E937F32}"/>
    <cellStyle name="Comma 4 4 2 4" xfId="1114" xr:uid="{215A50F9-63DE-436F-ABB5-D560B8641C69}"/>
    <cellStyle name="Comma 4 4 3" xfId="972" xr:uid="{01CD0DAF-2A1A-45AC-A428-611E56F68FA8}"/>
    <cellStyle name="Comma 4 4 3 2" xfId="1410" xr:uid="{451E20B6-7523-4933-83F0-6F2A8A63B3C5}"/>
    <cellStyle name="Comma 4 4 3 3" xfId="1177" xr:uid="{01ED00B4-BAD8-4B65-B432-748338A35FA0}"/>
    <cellStyle name="Comma 4 4 4" xfId="1294" xr:uid="{D2908565-DD96-4CD4-A8F9-F79AF8BDE1F7}"/>
    <cellStyle name="Comma 4 4 5" xfId="1057" xr:uid="{E0EAB927-C99B-4228-BC3E-8F0B521DA070}"/>
    <cellStyle name="Comma 4 4 6" xfId="2544" xr:uid="{A8E2A325-9BFB-4E5F-AA11-C3A2165928FD}"/>
    <cellStyle name="Comma 4 5" xfId="863" xr:uid="{3EFD697D-D6C4-4CA7-B04E-B6412980BE8E}"/>
    <cellStyle name="Comma 4 5 2" xfId="1203" xr:uid="{AF133694-6241-4138-ABAC-4AB6FC6ECA78}"/>
    <cellStyle name="Comma 4 5 2 2" xfId="1436" xr:uid="{A37C04A3-570D-4FE6-BD1A-17C18A9E005E}"/>
    <cellStyle name="Comma 4 5 2 3" xfId="3840" xr:uid="{9ED1AF23-27D8-4F28-A3AA-41AC037F0381}"/>
    <cellStyle name="Comma 4 5 3" xfId="1320" xr:uid="{B197301A-741B-4433-973F-5E1E0E023447}"/>
    <cellStyle name="Comma 4 5 4" xfId="1084" xr:uid="{1EE9568E-58C4-415B-AF12-B388F50F8338}"/>
    <cellStyle name="Comma 4 5 5" xfId="2545" xr:uid="{3B5DA396-CC69-4FC7-8200-B139BBAF122D}"/>
    <cellStyle name="Comma 4 6" xfId="942" xr:uid="{61C3D071-B490-470C-976E-9FEA44632C71}"/>
    <cellStyle name="Comma 4 6 2" xfId="1384" xr:uid="{2AE5B1D2-6D68-4937-9D3D-0CD5365CB6DC}"/>
    <cellStyle name="Comma 4 6 3" xfId="1151" xr:uid="{05EEA04F-4961-47B1-9E84-9A4BFDCDDA3D}"/>
    <cellStyle name="Comma 4 6 4" xfId="2546" xr:uid="{BDDB8886-1C98-495F-8FC8-6C92DF20FEC7}"/>
    <cellStyle name="Comma 4 7" xfId="1268" xr:uid="{7F0F30CE-4CA9-4A1E-9660-386E4D681100}"/>
    <cellStyle name="Comma 4 8" xfId="1031" xr:uid="{1C1658A9-D38B-4BE5-916F-FA668E383A19}"/>
    <cellStyle name="Comma 4 9" xfId="698" xr:uid="{403C2BF1-19F8-4B11-8FB8-2357CD776909}"/>
    <cellStyle name="Comma 5" xfId="51" xr:uid="{00000000-0005-0000-0000-00002A000000}"/>
    <cellStyle name="Comma 5 2" xfId="741" xr:uid="{D478268A-DF0C-4B5B-BBEF-00FA1734E830}"/>
    <cellStyle name="Comma 5 2 2" xfId="2548" xr:uid="{D757D544-2F3A-4326-8E69-AC737DB534FC}"/>
    <cellStyle name="Comma 5 3" xfId="2549" xr:uid="{DA45CDF8-2CE0-48D1-82D5-08C4C345AA27}"/>
    <cellStyle name="Comma 5 3 2" xfId="3841" xr:uid="{6B3A77BC-CA4E-45F8-8AA5-AFCD85D37E45}"/>
    <cellStyle name="Comma 5 4" xfId="2547" xr:uid="{25242DA9-C0D6-49FD-BEED-089FC06BB763}"/>
    <cellStyle name="Comma 6" xfId="52" xr:uid="{00000000-0005-0000-0000-00002B000000}"/>
    <cellStyle name="Comma 6 2" xfId="895" xr:uid="{F255B425-0280-4CF8-89B6-EBB2DEB02552}"/>
    <cellStyle name="Comma 6 2 2" xfId="1255" xr:uid="{704A244E-5A2F-4111-8E9C-2B938158BD5D}"/>
    <cellStyle name="Comma 6 2 2 2" xfId="1488" xr:uid="{9297EA6E-2CCB-4112-AF77-09EC4E4C5152}"/>
    <cellStyle name="Comma 6 2 3" xfId="1372" xr:uid="{7E23E9E1-6CEE-4A2F-8C5E-CE28F4FE14D3}"/>
    <cellStyle name="Comma 6 2 4" xfId="1136" xr:uid="{350B5B09-4779-4312-8758-D4340CF22AA9}"/>
    <cellStyle name="Comma 6 2 5" xfId="2551" xr:uid="{BFAF2F6D-C21B-4FFA-98DE-1A1B9AA4D606}"/>
    <cellStyle name="Comma 6 3" xfId="966" xr:uid="{6A26894F-FD4A-4F90-BFB9-AE902B473A5C}"/>
    <cellStyle name="Comma 6 3 2" xfId="1460" xr:uid="{39475F79-9885-4357-B4C1-05F47188DE1B}"/>
    <cellStyle name="Comma 6 3 3" xfId="1227" xr:uid="{18FF843B-5F8B-4F38-B119-D2C05ADBC0D3}"/>
    <cellStyle name="Comma 6 4" xfId="1344" xr:uid="{DBD9FCEF-F0D2-4017-9B9B-19883A39E7D5}"/>
    <cellStyle name="Comma 6 5" xfId="1108" xr:uid="{F50B1894-6A6C-4E4A-AB3F-58439678ADF2}"/>
    <cellStyle name="Comma 6 6" xfId="738" xr:uid="{A9251E0A-8C2F-49D9-A754-368AFE55B188}"/>
    <cellStyle name="Comma 6 7" xfId="2550" xr:uid="{31D2D603-6CFC-4EAC-8F77-0B86C046B5E5}"/>
    <cellStyle name="Comma 7" xfId="102" xr:uid="{D5206E47-2A95-4FF1-9589-DA112C04A81A}"/>
    <cellStyle name="Comma 7 2" xfId="1139" xr:uid="{59452356-5177-4B48-872B-45F54E602F39}"/>
    <cellStyle name="Comma 7 2 2" xfId="2554" xr:uid="{24AD771C-3B15-4E80-A28F-E49F28DAFAE1}"/>
    <cellStyle name="Comma 7 2 2 2" xfId="3842" xr:uid="{1C7342DE-5A70-4397-8DA1-717EF975720B}"/>
    <cellStyle name="Comma 7 2 3" xfId="2555" xr:uid="{6719063F-0464-4EC9-A7AE-03973673F0DD}"/>
    <cellStyle name="Comma 7 2 4" xfId="2553" xr:uid="{78AD39D2-A9E9-4C50-B1B7-2F6834340037}"/>
    <cellStyle name="Comma 7 3" xfId="872" xr:uid="{E7864F6D-C031-4AC2-9E32-1C2D4D8E89CF}"/>
    <cellStyle name="Comma 7 3 2" xfId="2557" xr:uid="{2C911D06-FE5A-402B-8006-7A05F1CEC73A}"/>
    <cellStyle name="Comma 7 3 2 2" xfId="3843" xr:uid="{F5AC34A2-558F-4496-B416-FC245A518AA3}"/>
    <cellStyle name="Comma 7 3 3" xfId="2556" xr:uid="{0F3766A4-129D-4387-915F-26C5E8F60CDA}"/>
    <cellStyle name="Comma 7 4" xfId="1528" xr:uid="{9114E8B8-6A58-43C1-A5B1-35829673A44E}"/>
    <cellStyle name="Comma 7 4 2" xfId="2558" xr:uid="{EDDCDD36-09DF-439F-B538-95805E537FB1}"/>
    <cellStyle name="Comma 7 5" xfId="2559" xr:uid="{09583D03-78D7-4E0C-AB47-48C557AD504F}"/>
    <cellStyle name="Comma 7 5 2" xfId="3844" xr:uid="{0F9F5811-F319-45A1-9D10-6B0562B2A25E}"/>
    <cellStyle name="Comma 7 6" xfId="2560" xr:uid="{13DF1B95-9E80-4439-AE4A-3E160FD8151C}"/>
    <cellStyle name="Comma 7 7" xfId="2552" xr:uid="{3E9F4A30-93C3-4635-B55E-88156756B649}"/>
    <cellStyle name="Comma 8" xfId="1143" xr:uid="{0FD88E57-14A1-40FC-9477-C96E25492CE0}"/>
    <cellStyle name="Comma 8 2" xfId="1373" xr:uid="{0BB19685-7025-45A9-8241-45B89BCC565C}"/>
    <cellStyle name="Comma 8 2 2" xfId="2562" xr:uid="{263496E7-4EC9-40F7-8177-AAABE42F53FB}"/>
    <cellStyle name="Comma 8 3" xfId="2561" xr:uid="{F4E86C14-104B-4630-B63A-F342E6823A0B}"/>
    <cellStyle name="Comma 9" xfId="1257" xr:uid="{971631FA-90B2-4CD7-93DD-3F784E81F85A}"/>
    <cellStyle name="Comma 9 2" xfId="2563" xr:uid="{2C0966A3-F444-4099-9EBD-895761AF2F3C}"/>
    <cellStyle name="Comma0" xfId="7" xr:uid="{00000000-0005-0000-0000-00002D000000}"/>
    <cellStyle name="Comma0 2" xfId="2565" xr:uid="{F9DEDA99-872E-4A01-B70D-F1596C37FCCE}"/>
    <cellStyle name="Comma0 2 2" xfId="2566" xr:uid="{2D1BAD54-2CE1-4AFA-8EBD-7CA0898467ED}"/>
    <cellStyle name="Comma0 3" xfId="2567" xr:uid="{0A6913C4-2FB9-49F8-A202-36C06B64E310}"/>
    <cellStyle name="Comma0 3 2" xfId="2568" xr:uid="{E2559824-C1A1-45EC-9F45-83F0D34508F0}"/>
    <cellStyle name="Comma0 4" xfId="2569" xr:uid="{D30877D7-5CF3-40E7-B2F6-4038B2C25DC8}"/>
    <cellStyle name="Comma0 5" xfId="2564" xr:uid="{F5C7AC13-6C5F-4682-8B05-B84730939428}"/>
    <cellStyle name="Currency 10" xfId="2570" xr:uid="{D402AAD8-00AC-47FB-9E4F-ED25D8E6B423}"/>
    <cellStyle name="Currency 11" xfId="2571" xr:uid="{59D713C2-9B9E-40D3-A070-0F90FA62F41E}"/>
    <cellStyle name="Currency 12" xfId="2572" xr:uid="{E4B3A835-8530-4CDD-AB7D-CE7A927B3C1C}"/>
    <cellStyle name="Currency 2" xfId="12" xr:uid="{00000000-0005-0000-0000-00002F000000}"/>
    <cellStyle name="Currency 2 10" xfId="2573" xr:uid="{B9E04FF6-E2B9-47EB-9BFF-30F3EE90D05C}"/>
    <cellStyle name="Currency 2 2" xfId="699" xr:uid="{CCB3356E-8847-428F-9561-B52CF2B5D2E2}"/>
    <cellStyle name="Currency 2 2 2" xfId="2575" xr:uid="{187DE8AB-5BA3-4533-899C-D99FAA1E7881}"/>
    <cellStyle name="Currency 2 2 3" xfId="2576" xr:uid="{28C0E349-714E-4EAC-BC6D-9B2BFC8E7DE8}"/>
    <cellStyle name="Currency 2 2 4" xfId="2574" xr:uid="{8C0FCC55-340C-407A-A8F8-4B4128E3B6E4}"/>
    <cellStyle name="Currency 2 3" xfId="690" xr:uid="{9C4D7435-CAEA-4E1C-AF51-D7C33A5A362E}"/>
    <cellStyle name="Currency 2 3 2" xfId="2578" xr:uid="{9A5992A7-B4F9-4E4C-942D-76A309DE2226}"/>
    <cellStyle name="Currency 2 3 2 2" xfId="3845" xr:uid="{2DBEC932-88F3-40F2-97E6-33E92C0E118B}"/>
    <cellStyle name="Currency 2 3 3" xfId="2579" xr:uid="{5E5F865D-5F97-4BCA-BD54-D2515A15FC44}"/>
    <cellStyle name="Currency 2 3 4" xfId="2577" xr:uid="{9D8D8057-E619-4869-9CDD-9AD8B4C6F826}"/>
    <cellStyle name="Currency 2 4" xfId="865" xr:uid="{8C3B8BBD-B628-4F2B-8D55-97666F333DE1}"/>
    <cellStyle name="Currency 2 4 2" xfId="2581" xr:uid="{D4B4D5BF-77FF-45B5-B3AE-E80D77BEA8FD}"/>
    <cellStyle name="Currency 2 4 2 2" xfId="3846" xr:uid="{D53666C5-EA76-4F70-A84B-91326CDEE239}"/>
    <cellStyle name="Currency 2 4 3" xfId="2580" xr:uid="{0027DD38-3231-4B05-9364-B4AF7F90FB7C}"/>
    <cellStyle name="Currency 2 5" xfId="1012" xr:uid="{2B08C812-A7E7-4016-93C8-C0DB4CB6968D}"/>
    <cellStyle name="Currency 2 5 2" xfId="2583" xr:uid="{592B5683-56D2-4EE9-864B-BF892FD60E1E}"/>
    <cellStyle name="Currency 2 5 3" xfId="2582" xr:uid="{C8A736CD-800B-4242-8869-331D6723B404}"/>
    <cellStyle name="Currency 2 6" xfId="484" xr:uid="{85D9DD75-2F9D-4F20-9400-0DF1B67F12D8}"/>
    <cellStyle name="Currency 2 6 2" xfId="2585" xr:uid="{EAD50799-3B39-47F0-86D4-CBE5ED3F969C}"/>
    <cellStyle name="Currency 2 6 3" xfId="2584" xr:uid="{5141601E-E86F-4A19-BDC9-F39AEC8D713E}"/>
    <cellStyle name="Currency 2 7" xfId="2586" xr:uid="{78828024-B967-4569-BBA7-095FA2763AE1}"/>
    <cellStyle name="Currency 2 8" xfId="2587" xr:uid="{97755F2A-70CC-48FA-8933-8E0ED6BE6D09}"/>
    <cellStyle name="Currency 2 8 2" xfId="3847" xr:uid="{96A0071B-CB4C-4978-91B3-4CDE710D1E6E}"/>
    <cellStyle name="Currency 2 9" xfId="2588" xr:uid="{EAA2D361-4164-4943-801F-337EE902C2B0}"/>
    <cellStyle name="Currency 3" xfId="53" xr:uid="{00000000-0005-0000-0000-000030000000}"/>
    <cellStyle name="Currency 3 2" xfId="700" xr:uid="{F12677A6-4868-46D1-8874-DF53244EE9F2}"/>
    <cellStyle name="Currency 3 2 2" xfId="2591" xr:uid="{624B6FB6-C46F-4671-A78D-8A9EDA79C9ED}"/>
    <cellStyle name="Currency 3 2 3" xfId="2590" xr:uid="{EAB8B539-D7B0-4771-ACEA-30AADA1283C9}"/>
    <cellStyle name="Currency 3 3" xfId="691" xr:uid="{8C0C9F5B-7CBC-4E61-B5B1-D7F321083EB5}"/>
    <cellStyle name="Currency 3 3 2" xfId="2592" xr:uid="{570F78A0-3CF5-4811-ADB0-C61FDFE569DB}"/>
    <cellStyle name="Currency 3 4" xfId="847" xr:uid="{A9840730-335F-4017-8C21-E00A0D19E2FE}"/>
    <cellStyle name="Currency 3 5" xfId="2589" xr:uid="{37F36DCC-5DE1-4B28-91A5-B5EBECA0E651}"/>
    <cellStyle name="Currency 4" xfId="54" xr:uid="{00000000-0005-0000-0000-000031000000}"/>
    <cellStyle name="Currency 4 2" xfId="1024" xr:uid="{C7D9E384-5727-432F-96D9-82CF94516DD6}"/>
    <cellStyle name="Currency 4 2 2" xfId="2594" xr:uid="{69CAB87D-99C9-4C93-8A63-554EB210F4D0}"/>
    <cellStyle name="Currency 4 3" xfId="2593" xr:uid="{036E4E28-277C-4ADD-9232-02E295D9DEBA}"/>
    <cellStyle name="Currency 5" xfId="485" xr:uid="{C7B28150-23F3-45C8-963D-555E5B2F35A2}"/>
    <cellStyle name="Currency 5 2" xfId="2596" xr:uid="{BDC3C42D-7845-48FE-B95E-53A01D087AE5}"/>
    <cellStyle name="Currency 5 2 2" xfId="2597" xr:uid="{B8CFD67E-731A-4AA8-BB9A-E72764DD9745}"/>
    <cellStyle name="Currency 5 2 2 2" xfId="3848" xr:uid="{89C5E5CC-FA6C-4D38-A6B0-DA4AD05B7224}"/>
    <cellStyle name="Currency 5 3" xfId="2598" xr:uid="{14B0FD6D-03B1-48E4-A1D0-DF7169E40625}"/>
    <cellStyle name="Currency 5 3 2" xfId="3849" xr:uid="{E65DA82C-A937-4DB3-B3BC-9EB7FC3FB3B8}"/>
    <cellStyle name="Currency 5 4" xfId="2599" xr:uid="{8969BC3B-7255-4815-8820-71F22BB4F0B1}"/>
    <cellStyle name="Currency 5 4 2" xfId="3850" xr:uid="{D95CFC89-56CD-4754-A2AA-C89B0AE3CB3B}"/>
    <cellStyle name="Currency 5 5" xfId="2600" xr:uid="{343B905B-6F39-4FF9-9A22-560E6786E026}"/>
    <cellStyle name="Currency 5 6" xfId="2601" xr:uid="{AEB3C025-7C5D-46DC-AADD-B10A2B7660B4}"/>
    <cellStyle name="Currency 5 7" xfId="2595" xr:uid="{B6BF131B-22C8-4B43-9142-705884BAE5E7}"/>
    <cellStyle name="Currency 6" xfId="2602" xr:uid="{88D3D8CD-8F19-421B-9F39-54BBF082FD43}"/>
    <cellStyle name="Currency 6 2" xfId="2603" xr:uid="{12F139E0-7CCE-43D0-9DE9-1CE8D29FDD32}"/>
    <cellStyle name="Currency 6 2 2" xfId="3851" xr:uid="{5305A826-3B72-4E80-A479-05E68562F856}"/>
    <cellStyle name="Currency 7" xfId="2604" xr:uid="{B8217EA2-3BC0-4C2A-9E21-83C8A5B4DA80}"/>
    <cellStyle name="Currency 8" xfId="2605" xr:uid="{CB484032-F099-4E84-8204-99FB7E0B1517}"/>
    <cellStyle name="Currency 9" xfId="2606" xr:uid="{8A21982C-376B-4FC2-9A5D-383CDEC9F1BB}"/>
    <cellStyle name="Currency0" xfId="8" xr:uid="{00000000-0005-0000-0000-000032000000}"/>
    <cellStyle name="Currency0 2" xfId="2608" xr:uid="{36F74FB9-90C9-48EF-AC0A-ACB306D03C67}"/>
    <cellStyle name="Currency0 2 2" xfId="2609" xr:uid="{D99CC8AD-69E7-4C84-B609-4EDD14F5A365}"/>
    <cellStyle name="Currency0 3" xfId="2610" xr:uid="{C214F006-8809-4935-A34C-1ED5CCBD21DC}"/>
    <cellStyle name="Currency0 3 2" xfId="2611" xr:uid="{0E34280C-4CF2-41C6-9232-C5B2D08D996A}"/>
    <cellStyle name="Currency0 4" xfId="2612" xr:uid="{CEDEA722-E562-4862-B70E-16F21FF236CC}"/>
    <cellStyle name="Currency0 5" xfId="2607" xr:uid="{F61B2D8B-C751-42B7-A31F-5FEEA535E208}"/>
    <cellStyle name="Date" xfId="9" xr:uid="{00000000-0005-0000-0000-000033000000}"/>
    <cellStyle name="Date 2" xfId="2614" xr:uid="{39F0C9E7-9B48-4AC7-AD59-E8CAAEBC3CCD}"/>
    <cellStyle name="Date 2 2" xfId="2615" xr:uid="{12AB9DAC-34FF-4BA7-95D6-6B94770B4BC0}"/>
    <cellStyle name="Date 3" xfId="2616" xr:uid="{418314D4-992B-4CAE-A073-36722D3752F2}"/>
    <cellStyle name="Date 3 2" xfId="2617" xr:uid="{2E4BE907-B0F9-4CDC-8C5E-06F191BAC358}"/>
    <cellStyle name="Date 4" xfId="2618" xr:uid="{9A568028-701B-4166-9E8C-F0351C40D26B}"/>
    <cellStyle name="Date 5" xfId="2613" xr:uid="{395FBDAD-18A4-4A38-8F82-31E8941E1F3A}"/>
    <cellStyle name="Excel Built-in Good" xfId="2619" xr:uid="{5A29F823-4EEC-4E52-BCC2-062E8EE8E4AC}"/>
    <cellStyle name="Excel Built-in Good 2" xfId="2620" xr:uid="{283BFCEA-1600-42B8-802A-24757D3A7FC1}"/>
    <cellStyle name="Excel Built-in Normal" xfId="2621" xr:uid="{E1C7050C-09E1-4DA9-985C-9346A9B2EB78}"/>
    <cellStyle name="Explanatory Text" xfId="1533" builtinId="53" customBuiltin="1"/>
    <cellStyle name="Explanatory Text 10" xfId="486" xr:uid="{3F568998-35F7-44A2-9AEC-A813F95A59CE}"/>
    <cellStyle name="Explanatory Text 11" xfId="487" xr:uid="{5FC0FBBC-85B9-45FD-8B6D-CA82D2F1478C}"/>
    <cellStyle name="Explanatory Text 12" xfId="488" xr:uid="{444080BA-CCBC-47B4-82A2-112260A77878}"/>
    <cellStyle name="Explanatory Text 13" xfId="489" xr:uid="{2C2D7632-5C19-4DCD-98DD-F85174427DE2}"/>
    <cellStyle name="Explanatory Text 14" xfId="490" xr:uid="{09616D64-CBE4-4F8D-B345-186D66FA5AFB}"/>
    <cellStyle name="Explanatory Text 15" xfId="491" xr:uid="{C1D71F60-2F1B-47F4-A1FF-22279A29821E}"/>
    <cellStyle name="Explanatory Text 16" xfId="858" xr:uid="{5E0802C2-FAC0-4F40-B18D-7EDA62AA95A1}"/>
    <cellStyle name="Explanatory Text 2" xfId="55" xr:uid="{00000000-0005-0000-0000-000034000000}"/>
    <cellStyle name="Explanatory Text 2 2" xfId="812" xr:uid="{0AC47521-27F7-42DA-B27B-6855D64DA743}"/>
    <cellStyle name="Explanatory Text 2 2 2" xfId="2624" xr:uid="{3422CF7E-609C-4AB7-BE01-190AFD0A78B8}"/>
    <cellStyle name="Explanatory Text 2 2 3" xfId="2623" xr:uid="{0E0A412D-DF65-4D55-8915-604A78C85548}"/>
    <cellStyle name="Explanatory Text 2 3" xfId="492" xr:uid="{B8CAF406-178C-404F-AE8E-50A5F2C419F4}"/>
    <cellStyle name="Explanatory Text 2 3 2" xfId="2626" xr:uid="{68E5621C-320E-4F65-AB51-D9CA47FD2C5C}"/>
    <cellStyle name="Explanatory Text 2 3 3" xfId="2625" xr:uid="{CCD97F19-519A-4EE1-8E44-97141622EB04}"/>
    <cellStyle name="Explanatory Text 2 4" xfId="2627" xr:uid="{A3A7A8E2-CF40-45E6-AC03-7E8BEFF080D1}"/>
    <cellStyle name="Explanatory Text 2 5" xfId="2628" xr:uid="{FF60BAA6-9C6B-451D-8D0B-CF33C8974998}"/>
    <cellStyle name="Explanatory Text 2 6" xfId="2629" xr:uid="{88B72899-3626-44E1-81F4-B1721B48C1C8}"/>
    <cellStyle name="Explanatory Text 2 7" xfId="2622" xr:uid="{73005D12-90B4-471B-BB7A-4E48A0E8FF32}"/>
    <cellStyle name="Explanatory Text 3" xfId="493" xr:uid="{3DE7E739-A21D-4074-8DD5-9A974430DDFB}"/>
    <cellStyle name="Explanatory Text 3 2" xfId="2631" xr:uid="{8EC70FC4-0C64-4822-A9E0-804E188DE0E5}"/>
    <cellStyle name="Explanatory Text 3 3" xfId="2632" xr:uid="{99E74A34-E784-41AF-A3A2-982D6AD26E5D}"/>
    <cellStyle name="Explanatory Text 3 4" xfId="2630" xr:uid="{F50158F1-B561-465B-AA20-3DF2718FB40C}"/>
    <cellStyle name="Explanatory Text 4" xfId="494" xr:uid="{156BF659-3287-4DEB-BCA8-8C04E0893A73}"/>
    <cellStyle name="Explanatory Text 4 2" xfId="2634" xr:uid="{B41FB562-BA6B-4C59-AC61-3DFE0C139A04}"/>
    <cellStyle name="Explanatory Text 4 3" xfId="2633" xr:uid="{2B54B933-7E60-4832-9204-07AB6A1C8E5A}"/>
    <cellStyle name="Explanatory Text 5" xfId="495" xr:uid="{48106F97-63CD-40B9-9462-C458763860F2}"/>
    <cellStyle name="Explanatory Text 5 2" xfId="2635" xr:uid="{0DD742C7-55B3-4AD8-A16E-D085DA5D06B7}"/>
    <cellStyle name="Explanatory Text 6" xfId="496" xr:uid="{EE422B80-A024-477E-8C69-0FAAC5D0CFAC}"/>
    <cellStyle name="Explanatory Text 6 2" xfId="2636" xr:uid="{33DAABB7-B8C4-487A-BB8F-702495C86E3B}"/>
    <cellStyle name="Explanatory Text 7" xfId="497" xr:uid="{AFDE6411-3EEE-44AC-B8BF-FA204E5051BF}"/>
    <cellStyle name="Explanatory Text 8" xfId="498" xr:uid="{7BB4893F-B03E-4570-9C80-D4AA4418FA3D}"/>
    <cellStyle name="Explanatory Text 9" xfId="499" xr:uid="{F05F9865-3553-41D8-830A-071B8A90EE20}"/>
    <cellStyle name="fitness_general" xfId="2637" xr:uid="{5DEFE04C-04D9-4621-A10A-7F1DF908845C}"/>
    <cellStyle name="Fitness-header" xfId="2638" xr:uid="{5E7EF945-AA0F-424A-9132-51F3185CADA5}"/>
    <cellStyle name="Fixed" xfId="10" xr:uid="{00000000-0005-0000-0000-000035000000}"/>
    <cellStyle name="Fixed 2" xfId="2640" xr:uid="{33494613-D892-489C-B696-C4F42F73215F}"/>
    <cellStyle name="Fixed 2 2" xfId="2641" xr:uid="{7DE59AE8-6827-45C9-A1BC-F2AA57AE1039}"/>
    <cellStyle name="Fixed 3" xfId="2642" xr:uid="{E2B225FE-BD48-4F46-8618-D9539A408AB2}"/>
    <cellStyle name="Fixed 3 2" xfId="2643" xr:uid="{CAEB7725-6EFB-43B1-AE69-C53D4037813A}"/>
    <cellStyle name="Fixed 4" xfId="2644" xr:uid="{D4994F97-8684-4688-8AFE-A995D122D005}"/>
    <cellStyle name="Fixed 5" xfId="2639" xr:uid="{FBDEB639-8A48-41B2-A5CC-695807136910}"/>
    <cellStyle name="Followed Hyperlink 2" xfId="2645" xr:uid="{9C704571-74E7-40A0-8ECC-4569E91688F6}"/>
    <cellStyle name="Good 10" xfId="500" xr:uid="{C451AD54-ABF5-4565-B12E-1F6E359DC56B}"/>
    <cellStyle name="Good 11" xfId="501" xr:uid="{477B308C-2A42-4289-8388-841D4F3C01F2}"/>
    <cellStyle name="Good 12" xfId="502" xr:uid="{EED55874-ACA9-43D4-B0F8-9F8CFA3B7EBB}"/>
    <cellStyle name="Good 13" xfId="503" xr:uid="{06738BA4-B842-4E0D-8F29-E7AABAC7C2D0}"/>
    <cellStyle name="Good 14" xfId="504" xr:uid="{F6D303B6-E67A-47E9-8A88-DA7D3C546EB6}"/>
    <cellStyle name="Good 15" xfId="505" xr:uid="{07A1B848-DAF0-4DF4-A5A8-C1DA38F2899A}"/>
    <cellStyle name="Good 16" xfId="854" xr:uid="{99305D87-F9C9-4A92-A870-2CE2C13B233B}"/>
    <cellStyle name="Good 2" xfId="56" xr:uid="{00000000-0005-0000-0000-000036000000}"/>
    <cellStyle name="Good 2 2" xfId="802" xr:uid="{C8062E05-3AC3-4A7D-B3D2-A8C659F209A7}"/>
    <cellStyle name="Good 2 2 2" xfId="2648" xr:uid="{36D39A87-7F66-4623-B8C1-EFEC3324AB30}"/>
    <cellStyle name="Good 2 2 3" xfId="2647" xr:uid="{E0FB9F53-77F1-45BD-A0C4-B93F7465243E}"/>
    <cellStyle name="Good 2 3" xfId="506" xr:uid="{E6E0D2CD-8100-4FCE-A179-F74656B8C726}"/>
    <cellStyle name="Good 2 3 2" xfId="2650" xr:uid="{8744CB17-ABDF-4B08-9FCE-D38A4A2F39DD}"/>
    <cellStyle name="Good 2 3 3" xfId="2649" xr:uid="{0A47380E-A149-4785-A5DF-76FCF7F47017}"/>
    <cellStyle name="Good 2 4" xfId="2651" xr:uid="{2E44DAD0-644C-4242-B526-541BED0E5E7B}"/>
    <cellStyle name="Good 2 5" xfId="2652" xr:uid="{BD57BF77-AC9F-492D-AC1E-0CA2D7321CE9}"/>
    <cellStyle name="Good 2 6" xfId="2653" xr:uid="{ED55529B-026C-4D77-9D07-3A0AF8C3F2AE}"/>
    <cellStyle name="Good 2 7" xfId="2646" xr:uid="{F34771CD-54FF-42C5-937D-17E083DA45CE}"/>
    <cellStyle name="Good 3" xfId="507" xr:uid="{D412163F-CAF5-4F3E-B5D9-154CD32B3649}"/>
    <cellStyle name="Good 3 2" xfId="2655" xr:uid="{5F0A11AD-274D-4369-A300-7110D6CFEEE5}"/>
    <cellStyle name="Good 3 3" xfId="2656" xr:uid="{5016D082-AC00-488D-94B1-533958EDAEF2}"/>
    <cellStyle name="Good 3 4" xfId="2654" xr:uid="{7C516BAB-6B9F-41E5-846F-0F3C94DCB530}"/>
    <cellStyle name="Good 4" xfId="508" xr:uid="{5163F374-85F1-45C6-A3BF-73D9F4281B84}"/>
    <cellStyle name="Good 4 2" xfId="2658" xr:uid="{25F51167-6BC3-4803-82B9-CC78C26E2E70}"/>
    <cellStyle name="Good 4 3" xfId="2657" xr:uid="{0609BEDC-D497-4984-A360-219A6B1626DA}"/>
    <cellStyle name="Good 5" xfId="509" xr:uid="{E41196D2-18A9-4FAB-A024-99F795C3A322}"/>
    <cellStyle name="Good 5 2" xfId="2659" xr:uid="{62CCDD3A-E7D1-479D-9DE6-D307B5F5A3D8}"/>
    <cellStyle name="Good 6" xfId="510" xr:uid="{686E4C23-FE4E-424C-86B5-FF2A3875654A}"/>
    <cellStyle name="Good 6 2" xfId="2660" xr:uid="{01BD5393-FE0E-4200-9DC4-EEB5BB9E6FF0}"/>
    <cellStyle name="Good 7" xfId="511" xr:uid="{DDFE59F5-E3FE-489A-A546-D535A98225B7}"/>
    <cellStyle name="Good 8" xfId="512" xr:uid="{1D6A403A-D8BE-4EE0-AF00-FBA64FF55CB2}"/>
    <cellStyle name="Good 9" xfId="513" xr:uid="{BCA1139F-F4D8-4CFA-B409-BE5FF150E196}"/>
    <cellStyle name="Grey" xfId="57" xr:uid="{00000000-0005-0000-0000-000037000000}"/>
    <cellStyle name="Grey 2" xfId="58" xr:uid="{00000000-0005-0000-0000-000038000000}"/>
    <cellStyle name="Grey 2 2" xfId="2663" xr:uid="{F78E4B06-BB53-4D3C-AF42-0B369B4801B6}"/>
    <cellStyle name="Grey 2 3" xfId="2662" xr:uid="{8584C989-BF04-4B42-A67B-4F0008A6B51C}"/>
    <cellStyle name="Grey 3" xfId="2664" xr:uid="{0F2C59ED-69B7-40E7-8077-4646EB60041D}"/>
    <cellStyle name="Grey 4" xfId="2665" xr:uid="{BA8161EE-7A5E-42FF-B2CB-4DE4518C3204}"/>
    <cellStyle name="Grey 5" xfId="2661" xr:uid="{C669A5F9-DBBF-40B8-B08C-7E61BDFEB675}"/>
    <cellStyle name="Heading 1 10" xfId="514" xr:uid="{9E624CDE-0423-440C-A4ED-02BA57126B0A}"/>
    <cellStyle name="Heading 1 10 2" xfId="2666" xr:uid="{F45F1685-EDE7-4024-9A01-F7954E1F4371}"/>
    <cellStyle name="Heading 1 11" xfId="515" xr:uid="{420CD4AA-C500-43DA-857C-C54649CDD88B}"/>
    <cellStyle name="Heading 1 11 2" xfId="2667" xr:uid="{E3F854E2-3203-440E-910A-B32A78450D03}"/>
    <cellStyle name="Heading 1 12" xfId="516" xr:uid="{ED610558-97CF-4C75-8634-AC453831E2A7}"/>
    <cellStyle name="Heading 1 12 2" xfId="2668" xr:uid="{B24A406A-1EE6-4180-8CAE-3BC8840884A1}"/>
    <cellStyle name="Heading 1 13" xfId="517" xr:uid="{DF3CBB7A-DAC3-43DE-9208-7E0509BE0979}"/>
    <cellStyle name="Heading 1 13 2" xfId="2669" xr:uid="{2A532802-6B2B-4979-A041-ADA492F9D80F}"/>
    <cellStyle name="Heading 1 14" xfId="518" xr:uid="{E35E3306-7E01-4D7E-A942-2DA12E860C2B}"/>
    <cellStyle name="Heading 1 14 2" xfId="2670" xr:uid="{76732A40-28EA-4795-B49B-DD534FBEC97A}"/>
    <cellStyle name="Heading 1 15" xfId="519" xr:uid="{8A590370-8506-4CB7-9C25-363C8FC5ADB6}"/>
    <cellStyle name="Heading 1 15 2" xfId="2671" xr:uid="{089284F6-825A-4DB7-B9DD-55681C97DEC5}"/>
    <cellStyle name="Heading 1 16" xfId="859" xr:uid="{F31F6FF6-09B3-4267-84F6-6FFB2F75E5BE}"/>
    <cellStyle name="Heading 1 16 2" xfId="2672" xr:uid="{56B4D6D7-2A95-42AE-B4EA-E3BBBE587275}"/>
    <cellStyle name="Heading 1 2" xfId="59" xr:uid="{00000000-0005-0000-0000-000039000000}"/>
    <cellStyle name="Heading 1 2 2" xfId="798" xr:uid="{42114794-85CD-4DC9-9E32-AF5DC4D513C5}"/>
    <cellStyle name="Heading 1 2 2 2" xfId="2675" xr:uid="{96370289-C69F-4D2D-8C81-BBD30C462F33}"/>
    <cellStyle name="Heading 1 2 2 3" xfId="2674" xr:uid="{FBADE68D-7473-4C59-AB58-DBA402502C3D}"/>
    <cellStyle name="Heading 1 2 3" xfId="520" xr:uid="{442B69F2-4020-4257-9FF0-33B86FEEF72F}"/>
    <cellStyle name="Heading 1 2 3 2" xfId="2677" xr:uid="{1425E19C-C59B-4522-9AF5-0BED80C21AF0}"/>
    <cellStyle name="Heading 1 2 3 3" xfId="2676" xr:uid="{58083DD2-2EE2-4EC2-AB26-5C9E9874A077}"/>
    <cellStyle name="Heading 1 2 4" xfId="2678" xr:uid="{96E75760-3704-4A84-BB93-336E7DF835FB}"/>
    <cellStyle name="Heading 1 2 5" xfId="2679" xr:uid="{084A22AB-4F98-4B8A-9F25-3F0D2F6B7E4C}"/>
    <cellStyle name="Heading 1 2 6" xfId="2673" xr:uid="{525D0397-3DD4-4126-8C3E-D2D36AE9F283}"/>
    <cellStyle name="Heading 1 3" xfId="521" xr:uid="{B734E738-71C1-413E-BBE8-89B6B36CE6B8}"/>
    <cellStyle name="Heading 1 3 2" xfId="2681" xr:uid="{69C0CA42-53CD-4B24-8C78-3DBAC1D906A6}"/>
    <cellStyle name="Heading 1 3 3" xfId="2680" xr:uid="{1B972CC3-292A-446C-BF86-5190D46BE6FC}"/>
    <cellStyle name="Heading 1 4" xfId="522" xr:uid="{F7EF0496-19E7-4393-998C-58E5A1034A4D}"/>
    <cellStyle name="Heading 1 4 2" xfId="2683" xr:uid="{6A53C2CD-685E-4906-92C6-8E2ED760352D}"/>
    <cellStyle name="Heading 1 4 3" xfId="2684" xr:uid="{B1FFB2DF-79B9-4731-96F6-580BE510C0B7}"/>
    <cellStyle name="Heading 1 4 4" xfId="2682" xr:uid="{BEBC91E7-69F1-41B5-944F-576D9A6F0523}"/>
    <cellStyle name="Heading 1 5" xfId="523" xr:uid="{56A7BF5C-A8A0-425C-95B1-EA1F23847572}"/>
    <cellStyle name="Heading 1 5 2" xfId="2685" xr:uid="{ACF677EA-319F-42F4-AC13-3F8FDF0A1B70}"/>
    <cellStyle name="Heading 1 6" xfId="524" xr:uid="{C2B4BA43-BB9D-4D8F-B5DA-134E183331EF}"/>
    <cellStyle name="Heading 1 6 2" xfId="2686" xr:uid="{A691BE1C-2AE4-4E68-8A00-59977EF4699B}"/>
    <cellStyle name="Heading 1 7" xfId="525" xr:uid="{9F6A45B5-23B9-47B1-AEB6-7E721373A1AC}"/>
    <cellStyle name="Heading 1 7 2" xfId="2687" xr:uid="{1B32D450-D072-4E50-AB57-61A376F93626}"/>
    <cellStyle name="Heading 1 8" xfId="526" xr:uid="{798AA96D-96A8-4B59-802A-BA99B94902A4}"/>
    <cellStyle name="Heading 1 8 2" xfId="2688" xr:uid="{8AB952DE-2FD6-4A48-9E92-AD0468A25E23}"/>
    <cellStyle name="Heading 1 9" xfId="527" xr:uid="{EF77EB25-2DAB-4D59-921C-0131F9D0B75F}"/>
    <cellStyle name="Heading 1 9 2" xfId="2689" xr:uid="{E44791B0-34B9-45EF-865D-0FBE6FB90F1A}"/>
    <cellStyle name="Heading 2 10" xfId="528" xr:uid="{B5AA27F0-304F-4E99-B21C-8B8712FA4165}"/>
    <cellStyle name="Heading 2 10 2" xfId="2690" xr:uid="{C9057AD3-499A-41BF-972C-E1C599086CEB}"/>
    <cellStyle name="Heading 2 11" xfId="529" xr:uid="{A1D4FE1F-312F-43DB-8CFD-F201869E9B3C}"/>
    <cellStyle name="Heading 2 11 2" xfId="2691" xr:uid="{679443E2-4074-4328-AAAA-83481AE61037}"/>
    <cellStyle name="Heading 2 12" xfId="530" xr:uid="{4007DB4B-D3E9-426D-A7FA-ED0A696AAAF6}"/>
    <cellStyle name="Heading 2 12 2" xfId="2692" xr:uid="{536D6CE2-12E1-44A7-9932-D4E87ACBD553}"/>
    <cellStyle name="Heading 2 13" xfId="531" xr:uid="{B28FA389-45DF-4AB1-8897-277C23CC3FA7}"/>
    <cellStyle name="Heading 2 13 2" xfId="2693" xr:uid="{AD8E919F-0B3D-40A7-8E7B-8C9FFAE6A73F}"/>
    <cellStyle name="Heading 2 14" xfId="532" xr:uid="{5A8C742C-DB19-4EC4-835D-AFC511F93C94}"/>
    <cellStyle name="Heading 2 14 2" xfId="2694" xr:uid="{DA316F91-33B2-4F60-975D-CCBEB2164C6B}"/>
    <cellStyle name="Heading 2 15" xfId="533" xr:uid="{FA6DE6E7-A037-4E73-AA35-579E61882E7D}"/>
    <cellStyle name="Heading 2 15 2" xfId="2695" xr:uid="{0ABF7EE4-4DCC-4D8C-A109-A7FAD5A2C691}"/>
    <cellStyle name="Heading 2 16" xfId="857" xr:uid="{BAC56A11-6A84-4DC7-8A7C-A95273358D05}"/>
    <cellStyle name="Heading 2 16 2" xfId="2696" xr:uid="{403059D8-60E8-4FAD-AFA9-B2E6AD9EC460}"/>
    <cellStyle name="Heading 2 2" xfId="60" xr:uid="{00000000-0005-0000-0000-00003A000000}"/>
    <cellStyle name="Heading 2 2 2" xfId="797" xr:uid="{1EC90361-A88E-41E1-B673-8AE5818ECE13}"/>
    <cellStyle name="Heading 2 2 2 2" xfId="2699" xr:uid="{40C5E7BA-8A00-49AB-86E8-69FFDED5F927}"/>
    <cellStyle name="Heading 2 2 2 3" xfId="2698" xr:uid="{8E221F44-74FD-4EBA-A74E-A6FE4249EABB}"/>
    <cellStyle name="Heading 2 2 3" xfId="534" xr:uid="{7FC0C457-DBDB-41AD-BEED-45FB73286358}"/>
    <cellStyle name="Heading 2 2 3 2" xfId="2701" xr:uid="{162526C5-8602-4D54-9038-473CEEED8AA7}"/>
    <cellStyle name="Heading 2 2 3 3" xfId="2700" xr:uid="{9CFB0B3E-1C7F-4B6A-9C61-96D75219D111}"/>
    <cellStyle name="Heading 2 2 4" xfId="2702" xr:uid="{C74B5A56-7B7B-4CFC-8C3D-B42192A7C24D}"/>
    <cellStyle name="Heading 2 2 5" xfId="2703" xr:uid="{CB650B12-B945-4E29-8D31-B6E1356B56A3}"/>
    <cellStyle name="Heading 2 2 6" xfId="2697" xr:uid="{44C6B9A4-EBBD-485F-AFB5-8D56C86E1430}"/>
    <cellStyle name="Heading 2 3" xfId="535" xr:uid="{CB578845-A402-4794-8ECA-F4A5BC80A61C}"/>
    <cellStyle name="Heading 2 3 2" xfId="2705" xr:uid="{B1ACA9BF-2530-461C-B1F8-B698EC59CA14}"/>
    <cellStyle name="Heading 2 3 3" xfId="2704" xr:uid="{E497DEBD-8639-475E-B460-4DFB1B51C021}"/>
    <cellStyle name="Heading 2 4" xfId="536" xr:uid="{DC34F801-A50C-4B02-8269-B1A07F547300}"/>
    <cellStyle name="Heading 2 4 2" xfId="2707" xr:uid="{C55296FD-EAA0-44C0-9005-81767E677D17}"/>
    <cellStyle name="Heading 2 4 3" xfId="2708" xr:uid="{63630D7B-8733-4F82-B67F-A57FC6251B55}"/>
    <cellStyle name="Heading 2 4 4" xfId="2706" xr:uid="{EB576337-068B-4E36-9E69-40D0B6F04A2D}"/>
    <cellStyle name="Heading 2 5" xfId="537" xr:uid="{E412664C-4AC0-4537-9FDD-E07EFCA87B1B}"/>
    <cellStyle name="Heading 2 5 2" xfId="2709" xr:uid="{A4559AC3-11B8-4B15-B821-37F9E7D74436}"/>
    <cellStyle name="Heading 2 6" xfId="538" xr:uid="{D4DB2174-C562-4ADE-9FA7-0FEE935AAAB7}"/>
    <cellStyle name="Heading 2 6 2" xfId="2710" xr:uid="{8909EE8D-7BFE-4CC2-8A1A-72E5CDFDC267}"/>
    <cellStyle name="Heading 2 7" xfId="539" xr:uid="{DEDC2B60-1B69-4826-9336-1B2BC2A3B799}"/>
    <cellStyle name="Heading 2 7 2" xfId="2711" xr:uid="{9757CDF6-12DC-4DD2-B8F4-3D6676C88B23}"/>
    <cellStyle name="Heading 2 8" xfId="540" xr:uid="{ECA80A98-A669-4991-B231-3FF18FE8AE11}"/>
    <cellStyle name="Heading 2 8 2" xfId="2712" xr:uid="{6F2B599B-B4A5-4A5B-83CE-EB4140EEC016}"/>
    <cellStyle name="Heading 2 9" xfId="541" xr:uid="{74B44C0C-BC2A-46CE-879D-E71314F03F44}"/>
    <cellStyle name="Heading 2 9 2" xfId="2713" xr:uid="{99707B3A-79DF-4FC5-9FDE-A1462D5DCE02}"/>
    <cellStyle name="Heading 3 10" xfId="542" xr:uid="{0056499D-0B1B-48E3-AFF7-E47A76DDBBFE}"/>
    <cellStyle name="Heading 3 10 2" xfId="2714" xr:uid="{00B3E3E7-175C-4B22-9950-5F50AC35F89E}"/>
    <cellStyle name="Heading 3 11" xfId="543" xr:uid="{CC48EB8F-6D56-4FAF-95CE-0BFFDB329924}"/>
    <cellStyle name="Heading 3 11 2" xfId="2715" xr:uid="{9CCD8BDD-9B95-40C7-B3FE-A0FFCDC6D190}"/>
    <cellStyle name="Heading 3 12" xfId="544" xr:uid="{ED196745-9F63-4C62-9954-D54724F889B3}"/>
    <cellStyle name="Heading 3 12 2" xfId="2716" xr:uid="{3E708529-3090-4F35-B614-7DDBD6F6AEAB}"/>
    <cellStyle name="Heading 3 13" xfId="545" xr:uid="{2ADA19A8-28E1-4633-BE46-D04DCBD133BE}"/>
    <cellStyle name="Heading 3 13 2" xfId="2717" xr:uid="{16601700-BA96-4D6B-A3BF-26A98B65E626}"/>
    <cellStyle name="Heading 3 14" xfId="546" xr:uid="{D269FC63-B8A0-4224-A885-4DFBDC82C17F}"/>
    <cellStyle name="Heading 3 14 2" xfId="2718" xr:uid="{FD88BFAC-3D9D-427C-9F8F-18E8ED5F4EB2}"/>
    <cellStyle name="Heading 3 15" xfId="547" xr:uid="{5C574794-0860-4AF0-805D-7059BDDF9022}"/>
    <cellStyle name="Heading 3 15 2" xfId="2719" xr:uid="{93EF3030-AE54-4770-A679-72BA03D6DAEE}"/>
    <cellStyle name="Heading 3 16" xfId="856" xr:uid="{F9DBED36-4DDE-44EA-B350-14A3ED9668CA}"/>
    <cellStyle name="Heading 3 16 2" xfId="2720" xr:uid="{5165434F-3DDF-4A0E-A04C-AC3CAF27647B}"/>
    <cellStyle name="Heading 3 2" xfId="61" xr:uid="{00000000-0005-0000-0000-00003B000000}"/>
    <cellStyle name="Heading 3 2 2" xfId="800" xr:uid="{E3A44095-41C1-4888-B770-A3C44C563613}"/>
    <cellStyle name="Heading 3 2 2 2" xfId="2723" xr:uid="{7A9A8EEA-8DB5-4F3B-B43D-9D476A42A3FF}"/>
    <cellStyle name="Heading 3 2 2 3" xfId="2722" xr:uid="{6D221D9D-C52F-4D83-9A87-519CBCB06B92}"/>
    <cellStyle name="Heading 3 2 3" xfId="548" xr:uid="{CD0C936A-A37F-45B3-A551-1CCD5983472B}"/>
    <cellStyle name="Heading 3 2 3 2" xfId="2725" xr:uid="{63E4D993-FFDB-4EAF-8715-519374F17B19}"/>
    <cellStyle name="Heading 3 2 3 3" xfId="2724" xr:uid="{F99281E9-A2CD-44BE-8DA3-208750EFB45F}"/>
    <cellStyle name="Heading 3 2 4" xfId="2726" xr:uid="{D1961D63-F44A-4EBB-A63B-C934F9A74461}"/>
    <cellStyle name="Heading 3 2 5" xfId="2727" xr:uid="{37903BD1-DA01-400C-BFBC-24C832972356}"/>
    <cellStyle name="Heading 3 2 6" xfId="2721" xr:uid="{57C56823-D0DA-44ED-A946-7797C9B4F502}"/>
    <cellStyle name="Heading 3 3" xfId="549" xr:uid="{4B632B50-B86A-4BD6-B70A-410C94453E8F}"/>
    <cellStyle name="Heading 3 3 2" xfId="2729" xr:uid="{4097F1B3-D1AA-484B-B416-129B42DBFEA3}"/>
    <cellStyle name="Heading 3 3 3" xfId="2730" xr:uid="{DCE72CC5-117B-4856-A1AA-2B7331B09D15}"/>
    <cellStyle name="Heading 3 3 4" xfId="2728" xr:uid="{3ECBF743-3500-4297-BF66-1118FB45F35D}"/>
    <cellStyle name="Heading 3 4" xfId="550" xr:uid="{A35712B7-3017-47E0-81A2-4EB9F398CD91}"/>
    <cellStyle name="Heading 3 4 2" xfId="2732" xr:uid="{74CD3852-54A2-441D-A78D-2436EB0ED3B4}"/>
    <cellStyle name="Heading 3 4 3" xfId="2731" xr:uid="{E52EAA93-682B-4DDC-BED0-7880BD13A588}"/>
    <cellStyle name="Heading 3 5" xfId="551" xr:uid="{14F4B2F7-EA1B-4CD7-8338-A3B55E765F77}"/>
    <cellStyle name="Heading 3 5 2" xfId="2733" xr:uid="{C7DB8EAC-A911-410F-B37D-84CE681E5411}"/>
    <cellStyle name="Heading 3 6" xfId="552" xr:uid="{642493DE-887B-4A06-A06A-6297B3FF8999}"/>
    <cellStyle name="Heading 3 6 2" xfId="2734" xr:uid="{40F2EFED-7490-46EE-9D4F-5B8B96EBB744}"/>
    <cellStyle name="Heading 3 7" xfId="553" xr:uid="{6E4F8E46-5828-4BAE-A973-606B191C211D}"/>
    <cellStyle name="Heading 3 7 2" xfId="2735" xr:uid="{36A09813-2BE4-498F-B920-1288C031F96F}"/>
    <cellStyle name="Heading 3 8" xfId="554" xr:uid="{DB0E6BED-7A26-4E75-B093-BD43156578FD}"/>
    <cellStyle name="Heading 3 8 2" xfId="2736" xr:uid="{F09AC93F-D596-411A-B916-60A9A7B9C080}"/>
    <cellStyle name="Heading 3 9" xfId="555" xr:uid="{358BCA0B-38E7-4986-A011-02C672C2C349}"/>
    <cellStyle name="Heading 3 9 2" xfId="2737" xr:uid="{369109E1-846E-46C9-ADFB-FC2FA75CCB10}"/>
    <cellStyle name="Heading 4 10" xfId="556" xr:uid="{8B115146-7BB8-4B81-861F-32A38D1DBE13}"/>
    <cellStyle name="Heading 4 10 2" xfId="2738" xr:uid="{3ACD35EF-DB44-431D-AA75-52D209D63A38}"/>
    <cellStyle name="Heading 4 11" xfId="557" xr:uid="{BA5FBD86-1D09-487F-B698-4D3B26279FC9}"/>
    <cellStyle name="Heading 4 11 2" xfId="2739" xr:uid="{9A968B73-F7D2-4DD8-9869-639903032E39}"/>
    <cellStyle name="Heading 4 12" xfId="558" xr:uid="{AE6058B7-193F-4532-A06B-9F23221B3D5D}"/>
    <cellStyle name="Heading 4 12 2" xfId="2740" xr:uid="{345A16B8-30A0-4637-9E4F-C1F78BC664A2}"/>
    <cellStyle name="Heading 4 13" xfId="559" xr:uid="{7A980230-E901-4F9D-816D-5ACD164F95CD}"/>
    <cellStyle name="Heading 4 13 2" xfId="2741" xr:uid="{2E631007-C26C-4750-A4D4-B13D6774C4FD}"/>
    <cellStyle name="Heading 4 14" xfId="560" xr:uid="{F1EC93E7-7A54-45EF-B8C6-A9AACB5D888E}"/>
    <cellStyle name="Heading 4 14 2" xfId="2742" xr:uid="{E78E05D6-F0A6-4F68-A652-018C857A7CD8}"/>
    <cellStyle name="Heading 4 15" xfId="561" xr:uid="{8AAD284E-8998-43F6-A97F-9397F17CCAAE}"/>
    <cellStyle name="Heading 4 15 2" xfId="2743" xr:uid="{00A58888-4846-475C-88CD-ED99FCB78128}"/>
    <cellStyle name="Heading 4 16" xfId="899" xr:uid="{7CF9C2C5-5603-43A8-932A-DF6B5880F72B}"/>
    <cellStyle name="Heading 4 16 2" xfId="2744" xr:uid="{F6CE770D-7EAA-4943-9419-DFB9D59CFE5D}"/>
    <cellStyle name="Heading 4 2" xfId="62" xr:uid="{00000000-0005-0000-0000-00003C000000}"/>
    <cellStyle name="Heading 4 2 2" xfId="801" xr:uid="{AF5481CE-3F5B-4067-AC2F-59C876B89B71}"/>
    <cellStyle name="Heading 4 2 2 2" xfId="2747" xr:uid="{1BB14B45-B47D-4D4D-ACDE-759D9C02C79A}"/>
    <cellStyle name="Heading 4 2 2 3" xfId="2746" xr:uid="{1B1BCCA7-CB6B-42B2-8C1C-2A712B4D1ABC}"/>
    <cellStyle name="Heading 4 2 3" xfId="562" xr:uid="{4DBCF3A6-B5C3-4771-885C-DA6694A7F581}"/>
    <cellStyle name="Heading 4 2 3 2" xfId="2749" xr:uid="{E7A5EB92-723D-4379-B951-16FBAB8B93C2}"/>
    <cellStyle name="Heading 4 2 3 3" xfId="2748" xr:uid="{CB254F9E-6864-4A11-83DD-247999967D1F}"/>
    <cellStyle name="Heading 4 2 4" xfId="2750" xr:uid="{07701354-0F38-4CC2-92B1-67AAA0086667}"/>
    <cellStyle name="Heading 4 2 5" xfId="2751" xr:uid="{67ED4891-B1A6-41BF-8D46-DBB24E49D856}"/>
    <cellStyle name="Heading 4 2 6" xfId="2745" xr:uid="{F5434A72-C633-41AC-8C84-EFEECE750D22}"/>
    <cellStyle name="Heading 4 3" xfId="563" xr:uid="{53D5D40A-B907-4F0D-BBC7-B9A14AD06670}"/>
    <cellStyle name="Heading 4 3 2" xfId="2753" xr:uid="{8940B378-14EC-4CDA-B5ED-0B033E655C25}"/>
    <cellStyle name="Heading 4 3 3" xfId="2754" xr:uid="{96C90E6A-6D3C-4199-9942-6DB0B42EB265}"/>
    <cellStyle name="Heading 4 3 4" xfId="2752" xr:uid="{4971E34F-0F90-496B-9EC2-AC4883148726}"/>
    <cellStyle name="Heading 4 4" xfId="564" xr:uid="{F6074E72-6FB2-42ED-8CA7-1E28CCAA9BD5}"/>
    <cellStyle name="Heading 4 4 2" xfId="2756" xr:uid="{8CE6DC80-A5DA-48F4-BAE4-ADFE5CC85A4F}"/>
    <cellStyle name="Heading 4 4 3" xfId="2755" xr:uid="{26236924-3901-48A6-B811-54A9E4C6D378}"/>
    <cellStyle name="Heading 4 5" xfId="565" xr:uid="{DDA30D74-ADE2-4D38-ADB8-C2E6CF93F16A}"/>
    <cellStyle name="Heading 4 5 2" xfId="2757" xr:uid="{A682C66A-693C-47B5-A681-850AF457C42D}"/>
    <cellStyle name="Heading 4 6" xfId="566" xr:uid="{76AC7961-3DBE-4A30-871C-01E62F713E82}"/>
    <cellStyle name="Heading 4 6 2" xfId="2758" xr:uid="{4EBC38D4-89BF-48D3-8CEF-2685D04ED6AF}"/>
    <cellStyle name="Heading 4 7" xfId="567" xr:uid="{4974BFD7-F728-4875-9874-91F45EDDA4BB}"/>
    <cellStyle name="Heading 4 7 2" xfId="2759" xr:uid="{3D741899-6E19-401F-BEB2-450405ECC1FE}"/>
    <cellStyle name="Heading 4 8" xfId="568" xr:uid="{BB57A0B3-EE28-4776-BAEF-6376EF2FAFC8}"/>
    <cellStyle name="Heading 4 8 2" xfId="2760" xr:uid="{53E2C3D5-78A7-460A-AF6D-61AF98E0812E}"/>
    <cellStyle name="Heading 4 9" xfId="569" xr:uid="{BFED68BB-B5AF-46C2-8CBF-5080D92E4AFB}"/>
    <cellStyle name="Heading 4 9 2" xfId="2761" xr:uid="{9340AA6F-C2A4-4FB5-A5F5-2F2326139756}"/>
    <cellStyle name="Hyperlink 2" xfId="860" xr:uid="{19815D14-47F1-4C40-8908-1673DE960848}"/>
    <cellStyle name="Hyperlink 2 2" xfId="1079" xr:uid="{B7941911-38B4-4FE7-BACD-288A82ABB0C8}"/>
    <cellStyle name="Hyperlink 2 2 2" xfId="2763" xr:uid="{8738078E-7888-42B1-911E-0FA4417DF2ED}"/>
    <cellStyle name="Hyperlink 2 3" xfId="2764" xr:uid="{D490A212-CD86-4D96-B038-2139F45AEAAA}"/>
    <cellStyle name="Hyperlink 2 4" xfId="2762" xr:uid="{7F9D590B-8165-43D6-9141-D0883073F19D}"/>
    <cellStyle name="Hyperlink 3" xfId="791" xr:uid="{7A09522E-D196-42F7-B014-32412D80B9F6}"/>
    <cellStyle name="Hyperlink 3 2" xfId="2766" xr:uid="{E1D9D343-B633-44F7-A8D2-8683CFF7BCFD}"/>
    <cellStyle name="Hyperlink 3 3" xfId="2765" xr:uid="{153D336F-21D9-4B12-9302-CA854F7E3D03}"/>
    <cellStyle name="Hyperlink 4" xfId="1523" xr:uid="{235BE327-B228-457D-94C2-FC138186B686}"/>
    <cellStyle name="Hyperlink 4 2" xfId="2767" xr:uid="{7F7E44FC-F618-4E39-B50C-AA4C802E0E11}"/>
    <cellStyle name="Hyperlink 5" xfId="1530" xr:uid="{91A199C1-5D5B-498A-9C86-73CB2DB0B42E}"/>
    <cellStyle name="Hyperlink 5 2" xfId="2768" xr:uid="{48BA0470-9C8C-4F8D-B911-C84464509394}"/>
    <cellStyle name="Hyperlink 6" xfId="2769" xr:uid="{2CE82526-E4C2-461D-A137-BF3A7249DF2C}"/>
    <cellStyle name="Input [yellow]" xfId="63" xr:uid="{00000000-0005-0000-0000-00003D000000}"/>
    <cellStyle name="Input [yellow] 2" xfId="64" xr:uid="{00000000-0005-0000-0000-00003E000000}"/>
    <cellStyle name="Input [yellow] 2 2" xfId="2772" xr:uid="{182EB07C-1C54-4901-9D90-8693EADA7BF6}"/>
    <cellStyle name="Input [yellow] 2 3" xfId="2771" xr:uid="{E35C9858-771A-4826-AB9D-89CDA2F3E2AD}"/>
    <cellStyle name="Input [yellow] 3" xfId="2773" xr:uid="{036C877E-7A1D-4197-91F6-429DD275BC12}"/>
    <cellStyle name="Input [yellow] 4" xfId="2770" xr:uid="{00010011-3981-4B2C-9905-1D72D7356583}"/>
    <cellStyle name="Input 10" xfId="570" xr:uid="{069DF234-84A1-4E00-A14F-7863896AA320}"/>
    <cellStyle name="Input 10 2" xfId="2775" xr:uid="{223AA8DC-5795-40F9-8D74-9A04A19B6A9D}"/>
    <cellStyle name="Input 10 3" xfId="2774" xr:uid="{4686A24A-796B-4139-A34E-9C2C32156E98}"/>
    <cellStyle name="Input 11" xfId="571" xr:uid="{CE6A837F-79AF-4FC5-9784-7ED9953EC354}"/>
    <cellStyle name="Input 11 2" xfId="2777" xr:uid="{C6E3772F-F569-48AA-B692-829B5E8341E4}"/>
    <cellStyle name="Input 11 3" xfId="2776" xr:uid="{54763D82-0AB2-4E9E-89D8-7CBD0549EB7A}"/>
    <cellStyle name="Input 12" xfId="572" xr:uid="{18AB055D-95D5-40A6-B334-75565775AAAA}"/>
    <cellStyle name="Input 12 2" xfId="2779" xr:uid="{C7FA84DB-36F9-4C68-A1D4-6FF5768F1475}"/>
    <cellStyle name="Input 12 3" xfId="2778" xr:uid="{21CA9A33-B170-41C5-8CB2-C999753D95CF}"/>
    <cellStyle name="Input 13" xfId="573" xr:uid="{E9EDB48C-7B77-456C-8AAE-14670AEFC864}"/>
    <cellStyle name="Input 13 2" xfId="2781" xr:uid="{2D92D0FF-F161-4FB9-902E-4212E3CEC53D}"/>
    <cellStyle name="Input 13 3" xfId="2780" xr:uid="{3E03973C-AEA5-4247-BA5D-5D483652DCDA}"/>
    <cellStyle name="Input 14" xfId="574" xr:uid="{373C56A7-1B4E-4846-9B18-50CE4B182894}"/>
    <cellStyle name="Input 14 2" xfId="2783" xr:uid="{D2DE61E7-5729-4DD6-B527-9775451D5582}"/>
    <cellStyle name="Input 14 3" xfId="2782" xr:uid="{4B5B4724-36F5-481F-BAE0-75AD8A99F77F}"/>
    <cellStyle name="Input 15" xfId="575" xr:uid="{EB3C41C1-EA4C-4F90-B9E4-615EC0280012}"/>
    <cellStyle name="Input 15 2" xfId="2785" xr:uid="{06A518F7-C687-47F6-843A-5C75E11AC4AB}"/>
    <cellStyle name="Input 15 3" xfId="2784" xr:uid="{7093A578-EB6B-42EE-ABCE-5BD12E8A57A1}"/>
    <cellStyle name="Input 16" xfId="852" xr:uid="{AA092E4D-9BD3-4E34-9B51-C1A7AB92F3D9}"/>
    <cellStyle name="Input 16 2" xfId="2787" xr:uid="{D9403588-DDBB-4121-B7C4-05B33C9C2EE4}"/>
    <cellStyle name="Input 16 3" xfId="2786" xr:uid="{1D4CD832-6582-4151-8465-BE6E1CB33E83}"/>
    <cellStyle name="Input 17" xfId="928" xr:uid="{A5FC5402-8443-4CFE-B8BB-04E05BF3122A}"/>
    <cellStyle name="Input 17 2" xfId="2789" xr:uid="{9011E3F4-9C34-4256-960A-6F248E01FBE5}"/>
    <cellStyle name="Input 17 3" xfId="2788" xr:uid="{D508A1CA-E71A-40B0-8D26-7451D290A8FA}"/>
    <cellStyle name="Input 18" xfId="927" xr:uid="{5DD1FDA6-9E91-44BF-9711-D61B26D3FD88}"/>
    <cellStyle name="Input 18 2" xfId="2791" xr:uid="{F97BD079-3A8E-4904-8841-D360EFE9649E}"/>
    <cellStyle name="Input 18 3" xfId="2790" xr:uid="{F0775912-DE7C-4650-A534-C241555274AC}"/>
    <cellStyle name="Input 19" xfId="926" xr:uid="{3BB892ED-CF61-4FBA-B3DD-F8D4B74AE053}"/>
    <cellStyle name="Input 19 2" xfId="2793" xr:uid="{41014EF1-A0A3-421A-A8CC-AEA084EFABFD}"/>
    <cellStyle name="Input 19 3" xfId="2792" xr:uid="{0E2C6AB0-5D46-4D0B-A0EB-D501B171B08E}"/>
    <cellStyle name="Input 2" xfId="65" xr:uid="{00000000-0005-0000-0000-00003F000000}"/>
    <cellStyle name="Input 2 2" xfId="805" xr:uid="{E3715E8F-709E-4A08-AEF7-D54EB62A7FD8}"/>
    <cellStyle name="Input 2 2 2" xfId="2796" xr:uid="{11037B34-5E80-4A02-88AA-80B4C8EBA3FE}"/>
    <cellStyle name="Input 2 2 3" xfId="2795" xr:uid="{B8DE4220-E2AC-41CB-8161-93907703D678}"/>
    <cellStyle name="Input 2 3" xfId="576" xr:uid="{D34BDCDB-1998-43C6-BC40-5E036E8649E0}"/>
    <cellStyle name="Input 2 3 2" xfId="2798" xr:uid="{0505EEE9-4ACE-4B23-872F-98B445C2E4C9}"/>
    <cellStyle name="Input 2 3 3" xfId="2797" xr:uid="{81C7FBAC-78C3-4789-A3AB-8C1A20383E0B}"/>
    <cellStyle name="Input 2 4" xfId="2799" xr:uid="{A8008C9E-5F1F-4715-995D-72D741769BB4}"/>
    <cellStyle name="Input 2 5" xfId="2800" xr:uid="{EB5FA28A-D589-4EC2-BD4E-FCBC73BD23C4}"/>
    <cellStyle name="Input 2 6" xfId="2801" xr:uid="{EF430130-8DE0-432B-8DEC-5189AADBA334}"/>
    <cellStyle name="Input 2 7" xfId="2794" xr:uid="{B43530E0-113F-46EE-BDBA-5FEFC2FA3FF6}"/>
    <cellStyle name="Input 20" xfId="934" xr:uid="{38FAA33F-2AF3-476E-B1B1-E5248307639C}"/>
    <cellStyle name="Input 20 2" xfId="2803" xr:uid="{B3932D40-C3E2-444C-B5EB-ADFEDA40AB6C}"/>
    <cellStyle name="Input 20 3" xfId="2802" xr:uid="{56018674-9702-4F4C-B611-5E59A8F397B0}"/>
    <cellStyle name="Input 21" xfId="2804" xr:uid="{91062FC0-FEC3-45A6-9B1D-53F917455C3F}"/>
    <cellStyle name="Input 21 2" xfId="2805" xr:uid="{A1460282-7240-486D-8CD5-EA7877E54EAA}"/>
    <cellStyle name="Input 22" xfId="2806" xr:uid="{4BEC53B7-C9E7-46CD-8EA4-2276C076D383}"/>
    <cellStyle name="Input 22 2" xfId="2807" xr:uid="{DC4410AA-8E33-4950-BE17-334AF4D978AE}"/>
    <cellStyle name="Input 23" xfId="2808" xr:uid="{B45FA828-0014-4A86-8658-E84F21AE6D91}"/>
    <cellStyle name="Input 23 2" xfId="2809" xr:uid="{5270CA39-7AE1-4D34-A510-379CB9865675}"/>
    <cellStyle name="Input 24" xfId="2810" xr:uid="{FBA4901D-564D-43F8-B69F-309F3FE62A4F}"/>
    <cellStyle name="Input 24 2" xfId="2811" xr:uid="{2EE410CE-CA3C-4046-8D47-D4152B21C701}"/>
    <cellStyle name="Input 25" xfId="2812" xr:uid="{1D451ACB-15F2-48E0-94DF-028E5049FDBB}"/>
    <cellStyle name="Input 25 2" xfId="2813" xr:uid="{242F5FC8-95C9-44FC-87BA-2C439CF05B28}"/>
    <cellStyle name="Input 26" xfId="2814" xr:uid="{97EF5FF9-B34E-4124-9031-63C15ECE8909}"/>
    <cellStyle name="Input 26 2" xfId="2815" xr:uid="{DDBAF762-B544-43DC-8000-17B2666A5B6E}"/>
    <cellStyle name="Input 27" xfId="2816" xr:uid="{677CE9A4-A3F9-4083-8036-BBF915B30617}"/>
    <cellStyle name="Input 27 2" xfId="2817" xr:uid="{333FCB75-2DBC-449B-B613-61DA6C395AB0}"/>
    <cellStyle name="Input 28" xfId="2818" xr:uid="{133E0A60-2844-4A65-A25D-416025AD7C5A}"/>
    <cellStyle name="Input 28 2" xfId="2819" xr:uid="{8B077FFF-6B25-468E-9FA6-767EFCCC9F29}"/>
    <cellStyle name="Input 29" xfId="2820" xr:uid="{B5ADFE38-8119-4F6A-BE54-741A2EE848E5}"/>
    <cellStyle name="Input 29 2" xfId="2821" xr:uid="{7FAFCF92-2964-49EF-AE17-E451A89398B0}"/>
    <cellStyle name="Input 3" xfId="577" xr:uid="{F53E2F5D-33EB-4FE2-AF79-C2A1FAA86F0E}"/>
    <cellStyle name="Input 3 2" xfId="2823" xr:uid="{9E90A4DC-4FB3-4365-80E3-5C5042AB69DF}"/>
    <cellStyle name="Input 3 3" xfId="2824" xr:uid="{E9BD8086-90B3-4586-9EF8-BD5EDC73BFBB}"/>
    <cellStyle name="Input 3 4" xfId="2822" xr:uid="{C53DCF9C-3B5B-449A-AD59-129D43BF8A2D}"/>
    <cellStyle name="Input 30" xfId="2825" xr:uid="{A28F7B6C-A3F3-4C98-9302-AD3E50DB4AEF}"/>
    <cellStyle name="Input 31" xfId="2826" xr:uid="{E78153B2-4028-400C-B681-E69B78D08009}"/>
    <cellStyle name="Input 32" xfId="2827" xr:uid="{DE61CF50-3036-47D4-AB00-F8BA37ECB02E}"/>
    <cellStyle name="Input 33" xfId="2828" xr:uid="{8C802E49-6E32-4C95-B090-F4FBC81B4FEA}"/>
    <cellStyle name="Input 34" xfId="2829" xr:uid="{0D41D999-563E-4C18-A8A0-BF6C6F1B3558}"/>
    <cellStyle name="Input 35" xfId="2830" xr:uid="{B579739B-5CC9-4E66-9030-70DE1F32CC2F}"/>
    <cellStyle name="Input 36" xfId="2831" xr:uid="{6AEAFC7E-54E1-497E-BF60-468A7008BF68}"/>
    <cellStyle name="Input 37" xfId="2832" xr:uid="{A8B5519D-6C2B-4B54-AAEC-74F6B1B4AD15}"/>
    <cellStyle name="Input 38" xfId="2833" xr:uid="{70803B95-F6AF-41ED-885C-529FDA575C5B}"/>
    <cellStyle name="Input 39" xfId="2834" xr:uid="{B5C4657C-06B8-4C62-AE53-850BD238CCDB}"/>
    <cellStyle name="Input 4" xfId="578" xr:uid="{49058892-9165-4E66-8EEA-2AFA430B8DEC}"/>
    <cellStyle name="Input 4 2" xfId="2836" xr:uid="{E588831F-2A19-4864-BFA5-F637A1AF8F4C}"/>
    <cellStyle name="Input 4 3" xfId="2837" xr:uid="{9A2AF552-4884-45FA-88F4-BC764E716A16}"/>
    <cellStyle name="Input 4 4" xfId="2835" xr:uid="{129BA377-E23D-486C-934A-6F66C344EFDA}"/>
    <cellStyle name="Input 40" xfId="2838" xr:uid="{A80469C5-6D07-4953-81FD-A619F37A0BBE}"/>
    <cellStyle name="Input 5" xfId="579" xr:uid="{A312C826-AEF1-48B7-AA47-DF7CA0243D79}"/>
    <cellStyle name="Input 5 2" xfId="2840" xr:uid="{F0F86EFE-A98C-4229-ADDB-8A4AF84611A8}"/>
    <cellStyle name="Input 5 3" xfId="2841" xr:uid="{E2265873-E550-4800-A9C8-9F67014A3EB6}"/>
    <cellStyle name="Input 5 4" xfId="2839" xr:uid="{CD167D1A-216B-44F7-A04C-6B104E58D163}"/>
    <cellStyle name="Input 6" xfId="580" xr:uid="{7D67E213-7EB0-4F3E-91C3-FA387B1DEDF1}"/>
    <cellStyle name="Input 6 2" xfId="2843" xr:uid="{2E9448B2-4485-4A0B-92CD-852D40639E6F}"/>
    <cellStyle name="Input 6 3" xfId="2842" xr:uid="{44EFBA8C-353E-42F8-9001-79751859AE61}"/>
    <cellStyle name="Input 7" xfId="581" xr:uid="{ECEB7560-00DD-4419-BBFD-1D266401279E}"/>
    <cellStyle name="Input 7 2" xfId="2845" xr:uid="{B2B6B965-CBDB-400E-980F-3049FB68E0EC}"/>
    <cellStyle name="Input 7 3" xfId="2844" xr:uid="{3F36E76F-FC90-4105-97FA-E3C68B6B60F7}"/>
    <cellStyle name="Input 8" xfId="582" xr:uid="{E9882AD8-260E-4025-B4A7-6164E193ADA4}"/>
    <cellStyle name="Input 8 2" xfId="2847" xr:uid="{12505071-079C-41DA-AB12-19BA19912D2A}"/>
    <cellStyle name="Input 8 3" xfId="2846" xr:uid="{D2ECCA8B-9406-4B0C-9B9A-1CC5E9EA74AF}"/>
    <cellStyle name="Input 9" xfId="583" xr:uid="{A42343CE-E863-4020-9ACF-21FF6F93DA8F}"/>
    <cellStyle name="Input 9 2" xfId="2849" xr:uid="{EDC37023-04CF-4758-80D2-6726BFD6B9AC}"/>
    <cellStyle name="Input 9 3" xfId="2848" xr:uid="{10E0B8D7-7845-44C5-9D9F-444C03983379}"/>
    <cellStyle name="Linked Cell 10" xfId="584" xr:uid="{B21F4A40-B749-4006-BA69-DD93F4F95645}"/>
    <cellStyle name="Linked Cell 11" xfId="585" xr:uid="{7C5E111D-2754-40AF-85CF-BD920860561D}"/>
    <cellStyle name="Linked Cell 12" xfId="586" xr:uid="{67355B33-B838-4142-A59A-DA682EDD41CA}"/>
    <cellStyle name="Linked Cell 13" xfId="587" xr:uid="{C24ABC20-0F0E-42C9-A66D-46C1DF61572A}"/>
    <cellStyle name="Linked Cell 14" xfId="588" xr:uid="{7BAC505C-1347-47BB-94C1-4BF5F93D8489}"/>
    <cellStyle name="Linked Cell 15" xfId="589" xr:uid="{F2314CE8-4249-40BB-9A62-8E163E0150B8}"/>
    <cellStyle name="Linked Cell 16" xfId="893" xr:uid="{83678AE8-03BC-4101-8573-36E493C3A34D}"/>
    <cellStyle name="Linked Cell 2" xfId="66" xr:uid="{00000000-0005-0000-0000-000040000000}"/>
    <cellStyle name="Linked Cell 2 2" xfId="808" xr:uid="{CFF4BC8D-A982-40A0-B526-0EA910458D3B}"/>
    <cellStyle name="Linked Cell 2 2 2" xfId="2852" xr:uid="{D24BC3D6-1025-4529-B0BE-2C876DE9C678}"/>
    <cellStyle name="Linked Cell 2 2 3" xfId="2851" xr:uid="{0D24BC1E-A080-40D8-9E71-453837A7425F}"/>
    <cellStyle name="Linked Cell 2 3" xfId="590" xr:uid="{49F0270A-FD95-4073-B548-2A0E4E22E41C}"/>
    <cellStyle name="Linked Cell 2 3 2" xfId="2854" xr:uid="{E5E001A5-82DE-47ED-AFBC-9EB6D5C437D2}"/>
    <cellStyle name="Linked Cell 2 3 3" xfId="2853" xr:uid="{7E8C1D44-6FD1-4EE6-8593-EBB22C2D1300}"/>
    <cellStyle name="Linked Cell 2 4" xfId="2855" xr:uid="{C6C51064-0277-402E-8CFD-38F6E165E09F}"/>
    <cellStyle name="Linked Cell 2 5" xfId="2856" xr:uid="{6DB297E1-F839-4E0F-A33B-A7BFBE69EC82}"/>
    <cellStyle name="Linked Cell 2 6" xfId="2857" xr:uid="{DD025D9E-E8B3-4311-B526-C330014C13A1}"/>
    <cellStyle name="Linked Cell 2 7" xfId="2850" xr:uid="{2DCFA7A4-CE84-4170-96CE-884743D81713}"/>
    <cellStyle name="Linked Cell 3" xfId="591" xr:uid="{A4ABCC8F-849D-4690-826F-522012C9B1E0}"/>
    <cellStyle name="Linked Cell 3 2" xfId="2859" xr:uid="{695E0FD3-90BC-471C-8E6A-1B850C1C7C53}"/>
    <cellStyle name="Linked Cell 3 3" xfId="2860" xr:uid="{7365C448-F951-4F5E-B1C4-7EC700ED76C4}"/>
    <cellStyle name="Linked Cell 3 4" xfId="2858" xr:uid="{FA3117C5-B0E4-4F86-9E46-3968E128DC3F}"/>
    <cellStyle name="Linked Cell 4" xfId="592" xr:uid="{F5055E08-3357-44CC-8CA5-30AAE9D24F9C}"/>
    <cellStyle name="Linked Cell 4 2" xfId="2862" xr:uid="{62C974F7-39A2-44F2-9965-444C7E005821}"/>
    <cellStyle name="Linked Cell 4 3" xfId="2861" xr:uid="{849460A9-B07D-4DB9-8C68-C09F2260464E}"/>
    <cellStyle name="Linked Cell 5" xfId="593" xr:uid="{D07BE249-6F9C-440A-9641-503066FDD0F7}"/>
    <cellStyle name="Linked Cell 5 2" xfId="2863" xr:uid="{DCA70025-2BF6-48FD-BBAD-6E5364269105}"/>
    <cellStyle name="Linked Cell 6" xfId="594" xr:uid="{39D6E0B0-9681-4C5A-87A3-87A5B4900297}"/>
    <cellStyle name="Linked Cell 6 2" xfId="2864" xr:uid="{529BD889-C3D5-438F-A3F8-BFDB9FB12FA5}"/>
    <cellStyle name="Linked Cell 7" xfId="595" xr:uid="{ECFB7E7E-23BD-4786-921E-428DFD12CEC7}"/>
    <cellStyle name="Linked Cell 8" xfId="596" xr:uid="{A13B6203-94E6-465B-88C0-8333B7EFF1CB}"/>
    <cellStyle name="Linked Cell 9" xfId="597" xr:uid="{814C020F-504A-49DB-B60F-40E62953FEEF}"/>
    <cellStyle name="M" xfId="67" xr:uid="{00000000-0005-0000-0000-000041000000}"/>
    <cellStyle name="M 2" xfId="2866" xr:uid="{CECDD0E2-80B2-413C-ADB6-1BFC2D29D842}"/>
    <cellStyle name="M 2 2" xfId="2867" xr:uid="{6D16C178-7E0A-43D2-9B18-991B7982D690}"/>
    <cellStyle name="M 3" xfId="2868" xr:uid="{5E659100-A797-4E6D-9902-3CC9AF01C9D6}"/>
    <cellStyle name="M 4" xfId="2865" xr:uid="{1A9B5E9D-C597-4941-94E7-C34EAF309660}"/>
    <cellStyle name="M.00" xfId="68" xr:uid="{00000000-0005-0000-0000-000042000000}"/>
    <cellStyle name="M.00 2" xfId="2870" xr:uid="{9ECC6ADC-9C01-4E82-B0CE-CCE2AA350B01}"/>
    <cellStyle name="M.00 2 2" xfId="2871" xr:uid="{1DCE172A-4589-4399-A689-F216DA0600ED}"/>
    <cellStyle name="M.00 3" xfId="2872" xr:uid="{11898FFD-91E1-46BE-9D64-16912121B45D}"/>
    <cellStyle name="M.00 4" xfId="2869" xr:uid="{32AFA697-61B0-4F9A-B196-0000A5BEAECB}"/>
    <cellStyle name="M_9. Rev2Cost_GDPIPI" xfId="69" xr:uid="{00000000-0005-0000-0000-000043000000}"/>
    <cellStyle name="M_9. Rev2Cost_GDPIPI 2" xfId="2874" xr:uid="{A0D3BBF0-63C4-4506-ABBE-C0812024A21D}"/>
    <cellStyle name="M_9. Rev2Cost_GDPIPI 2 2" xfId="2875" xr:uid="{3D488E10-95B1-4412-8715-483D03CEE6B6}"/>
    <cellStyle name="M_9. Rev2Cost_GDPIPI 3" xfId="2876" xr:uid="{28C58282-EDD7-4837-A489-325FC83102FA}"/>
    <cellStyle name="M_9. Rev2Cost_GDPIPI 4" xfId="2873" xr:uid="{518EA112-1886-47F6-8B9A-D2320CE0F900}"/>
    <cellStyle name="M_lists" xfId="70" xr:uid="{00000000-0005-0000-0000-000044000000}"/>
    <cellStyle name="M_lists 2" xfId="2878" xr:uid="{75DC9FC5-2679-48C5-92F4-6B8B339FB154}"/>
    <cellStyle name="M_lists 2 2" xfId="2879" xr:uid="{53DD01D5-AE96-4EB4-B4DE-68A478DDEAFF}"/>
    <cellStyle name="M_lists 3" xfId="2880" xr:uid="{C8865341-61E0-49AE-A060-5AC1AD2789E1}"/>
    <cellStyle name="M_lists 4" xfId="2877" xr:uid="{56566452-95BF-4150-A905-7D3E840BAF97}"/>
    <cellStyle name="M_lists_4. Current Monthly Fixed Charge" xfId="71" xr:uid="{00000000-0005-0000-0000-000045000000}"/>
    <cellStyle name="M_lists_4. Current Monthly Fixed Charge 2" xfId="2882" xr:uid="{731A6B24-9EF6-4946-97FE-94D18BEBB31C}"/>
    <cellStyle name="M_lists_4. Current Monthly Fixed Charge 2 2" xfId="2883" xr:uid="{6774ECB9-3E6A-455F-8ED4-161FAEE55992}"/>
    <cellStyle name="M_lists_4. Current Monthly Fixed Charge 3" xfId="2884" xr:uid="{99E784E3-0C36-443D-A984-F6D894FAA8B2}"/>
    <cellStyle name="M_lists_4. Current Monthly Fixed Charge 4" xfId="2881" xr:uid="{05FB548A-62AC-44EB-A3C3-09995321B1F8}"/>
    <cellStyle name="M_Sheet4" xfId="72" xr:uid="{00000000-0005-0000-0000-000046000000}"/>
    <cellStyle name="M_Sheet4 2" xfId="2886" xr:uid="{8789DAA3-35BE-4CBC-867B-0F803E248923}"/>
    <cellStyle name="M_Sheet4 2 2" xfId="2887" xr:uid="{99FDB789-5A55-4FFD-B7E1-1AF0B4B39843}"/>
    <cellStyle name="M_Sheet4 3" xfId="2888" xr:uid="{C8268EF0-AAB4-4C28-AFF9-0B1BCD509FED}"/>
    <cellStyle name="M_Sheet4 4" xfId="2885" xr:uid="{D6EA793C-B5B1-49E3-A45B-D7C55DE39954}"/>
    <cellStyle name="Neutral 10" xfId="598" xr:uid="{6F95EAEC-D219-47AA-818A-6412A59B782E}"/>
    <cellStyle name="Neutral 11" xfId="599" xr:uid="{AB5A434D-7685-4E7B-B984-3B12A50B68C8}"/>
    <cellStyle name="Neutral 12" xfId="600" xr:uid="{F94ACB22-8D04-4F3E-98E2-E51863D5BA55}"/>
    <cellStyle name="Neutral 13" xfId="601" xr:uid="{A23CA9BD-6F4B-4D44-82A7-D0BFD3375E7E}"/>
    <cellStyle name="Neutral 14" xfId="602" xr:uid="{4FD47164-5B43-454C-9A4A-9FDC9E9FEA35}"/>
    <cellStyle name="Neutral 15" xfId="603" xr:uid="{66C52A4E-60B4-4372-B326-1C34BBB46852}"/>
    <cellStyle name="Neutral 16" xfId="792" xr:uid="{E81E74C4-7F10-4522-AC98-50BD1DACA006}"/>
    <cellStyle name="Neutral 2" xfId="73" xr:uid="{00000000-0005-0000-0000-000047000000}"/>
    <cellStyle name="Neutral 2 2" xfId="804" xr:uid="{0A0FF0D2-A479-4191-A737-74B8277B8933}"/>
    <cellStyle name="Neutral 2 2 2" xfId="2891" xr:uid="{62E6AE50-25E2-46A7-ADE4-22A59041C661}"/>
    <cellStyle name="Neutral 2 2 3" xfId="2890" xr:uid="{FF9EA831-BF9B-40F8-A355-3114464EADC4}"/>
    <cellStyle name="Neutral 2 3" xfId="604" xr:uid="{94DE363B-90BE-4EC8-B725-DBD4849CAC16}"/>
    <cellStyle name="Neutral 2 3 2" xfId="2893" xr:uid="{58630C55-B041-49F2-BE4F-13E8AAF8BF2C}"/>
    <cellStyle name="Neutral 2 3 3" xfId="2892" xr:uid="{4308BFCD-71EE-4F37-A5C2-CEFDB98093C1}"/>
    <cellStyle name="Neutral 2 4" xfId="2894" xr:uid="{9E47527B-90C0-4864-AB93-E30BD81D161E}"/>
    <cellStyle name="Neutral 2 5" xfId="2895" xr:uid="{4D8D3BE1-ACBE-48A5-A1D8-B76BB4743F74}"/>
    <cellStyle name="Neutral 2 6" xfId="2896" xr:uid="{FC618CAB-87C1-44C9-A082-89A41A84A137}"/>
    <cellStyle name="Neutral 2 7" xfId="2889" xr:uid="{39B226F8-A27D-4C49-9FB8-4D4E01A9FC55}"/>
    <cellStyle name="Neutral 3" xfId="605" xr:uid="{F6D2C34F-C9FB-4B15-884C-D3923FF3B004}"/>
    <cellStyle name="Neutral 3 2" xfId="2898" xr:uid="{87693DFA-6EF4-478F-B9D2-53F5BD1059C5}"/>
    <cellStyle name="Neutral 3 3" xfId="2899" xr:uid="{1EF2E613-36FD-4668-8B29-D9F693C5617A}"/>
    <cellStyle name="Neutral 3 4" xfId="2897" xr:uid="{1ED60BAF-047A-4BD0-A5C4-ECDCE578CE55}"/>
    <cellStyle name="Neutral 4" xfId="606" xr:uid="{FB913938-7725-4FCF-B496-056091105E82}"/>
    <cellStyle name="Neutral 4 2" xfId="2901" xr:uid="{E52EAA8A-BC12-4FF9-AB02-6AE6A3F0F270}"/>
    <cellStyle name="Neutral 4 3" xfId="2900" xr:uid="{E41CE027-5FC7-45C2-9A7A-4F2CFA584EA3}"/>
    <cellStyle name="Neutral 5" xfId="607" xr:uid="{5C7C171D-5911-4DC5-A06C-8C9929ECE242}"/>
    <cellStyle name="Neutral 5 2" xfId="2902" xr:uid="{5A11D727-2731-45EB-8A16-694D4804DBDE}"/>
    <cellStyle name="Neutral 6" xfId="608" xr:uid="{9FAE97F8-66CD-4CC8-BAD3-EC4497EF96E6}"/>
    <cellStyle name="Neutral 6 2" xfId="2903" xr:uid="{EC5D46AE-81DE-428C-84F2-3476A9866558}"/>
    <cellStyle name="Neutral 7" xfId="609" xr:uid="{8B9C3F4B-0AE1-4039-AE99-0B371EA450AC}"/>
    <cellStyle name="Neutral 8" xfId="610" xr:uid="{EBF9C081-925B-4056-AB2C-324936527996}"/>
    <cellStyle name="Neutral 9" xfId="611" xr:uid="{690673FD-C651-44D2-AAFE-9267319BA234}"/>
    <cellStyle name="Normal" xfId="0" builtinId="0"/>
    <cellStyle name="Normal - Style1" xfId="74" xr:uid="{00000000-0005-0000-0000-000049000000}"/>
    <cellStyle name="Normal - Style1 2" xfId="2905" xr:uid="{81CA49DB-9216-4A3A-B1C9-49CBFD5FEEA9}"/>
    <cellStyle name="Normal - Style1 2 2" xfId="2906" xr:uid="{05A35745-B890-4136-A9D8-3C7BF8CD7C57}"/>
    <cellStyle name="Normal - Style1 3" xfId="2907" xr:uid="{49996C6C-93CA-4466-8167-EB2F5D9DC2F6}"/>
    <cellStyle name="Normal - Style1 4" xfId="2904" xr:uid="{5CE71E04-1C9B-428F-A4DB-E86F6902F021}"/>
    <cellStyle name="Normal 10" xfId="612" xr:uid="{352B99B7-E791-44FE-A409-3B6B22DBC66D}"/>
    <cellStyle name="Normal 10 2" xfId="2909" xr:uid="{B3133D84-702C-4AC1-9BF1-1CA22AA460B5}"/>
    <cellStyle name="Normal 10 2 2" xfId="2910" xr:uid="{5233A45E-8A5B-4871-9850-FF8C59EAB39F}"/>
    <cellStyle name="Normal 10 2 2 2" xfId="3852" xr:uid="{9D150298-D796-49A7-9558-D5F05E04E647}"/>
    <cellStyle name="Normal 10 3" xfId="2911" xr:uid="{3F3C0D16-0A29-4CF5-909D-17339251441A}"/>
    <cellStyle name="Normal 10 3 2" xfId="3853" xr:uid="{1C29E93E-D5BA-4D26-AA4A-6CBB60AA4D1A}"/>
    <cellStyle name="Normal 10 4" xfId="2908" xr:uid="{BCB73BA2-E127-4341-9856-C59529F72DFA}"/>
    <cellStyle name="Normal 11" xfId="613" xr:uid="{893E931D-4E9C-4905-A23B-BFF0440FB9E0}"/>
    <cellStyle name="Normal 11 2" xfId="2913" xr:uid="{8DC3A079-DC64-4540-B78E-9B81687DB455}"/>
    <cellStyle name="Normal 11 2 2" xfId="3854" xr:uid="{1B731CA3-0C49-4025-95B5-0971E32010E2}"/>
    <cellStyle name="Normal 11 3" xfId="2914" xr:uid="{21F63B74-1A50-49C8-8E45-9CB6842910BC}"/>
    <cellStyle name="Normal 11 3 2" xfId="3855" xr:uid="{D3727A63-D0ED-4E1B-B9CF-49C1C782702E}"/>
    <cellStyle name="Normal 11 4" xfId="2912" xr:uid="{5D370556-74E8-456F-A635-A560B1D052C2}"/>
    <cellStyle name="Normal 12" xfId="614" xr:uid="{8AE0198E-883C-4F6F-97E3-9C75B3AE60CE}"/>
    <cellStyle name="Normal 12 2" xfId="2916" xr:uid="{A3A406ED-3DDE-483B-82C7-18AC1A07E2F0}"/>
    <cellStyle name="Normal 12 2 2" xfId="3857" xr:uid="{8697060A-AFAE-4356-BA44-1CD9FAB66CA2}"/>
    <cellStyle name="Normal 12 3" xfId="3856" xr:uid="{EF675E2F-090D-414D-821A-B7F92EE20EF9}"/>
    <cellStyle name="Normal 12 4" xfId="2915" xr:uid="{58AD6788-6A27-44FE-AD1E-9776487F4555}"/>
    <cellStyle name="Normal 13" xfId="615" xr:uid="{643DD5FB-F07D-4293-A038-42E059C88DDB}"/>
    <cellStyle name="Normal 13 2" xfId="2918" xr:uid="{65B485FF-673F-441F-AFEC-3A48397C224B}"/>
    <cellStyle name="Normal 13 2 2" xfId="3859" xr:uid="{82A2BA83-3C3A-48F7-BB76-F181E7F113B0}"/>
    <cellStyle name="Normal 13 3" xfId="2919" xr:uid="{360D62C3-7D9E-445D-9A90-B3F57C8B47B4}"/>
    <cellStyle name="Normal 13 3 2" xfId="3860" xr:uid="{8AD45F0B-AFAF-40BF-8DA3-4A86EE4EB4BE}"/>
    <cellStyle name="Normal 13 4" xfId="3858" xr:uid="{02C1B083-1B7E-4E82-9227-C79E2F3B76E6}"/>
    <cellStyle name="Normal 13 5" xfId="2917" xr:uid="{9B3EE127-A33F-42D5-9BDE-93DD045B6C28}"/>
    <cellStyle name="Normal 14" xfId="616" xr:uid="{985BC5CD-E9C0-45ED-A7A9-F3178E7A8ACE}"/>
    <cellStyle name="Normal 14 2" xfId="2921" xr:uid="{DF7037CA-B3D7-46E3-9E27-DE740CC8E59F}"/>
    <cellStyle name="Normal 14 2 2" xfId="3861" xr:uid="{85F01607-4176-4D34-8D54-529E4337CD8D}"/>
    <cellStyle name="Normal 14 3" xfId="2920" xr:uid="{328BE3CC-6AE2-4CBC-BD07-E06AAF774288}"/>
    <cellStyle name="Normal 15" xfId="617" xr:uid="{746CEED5-D31C-4B5E-B01C-999F254D400E}"/>
    <cellStyle name="Normal 15 2" xfId="2923" xr:uid="{EF402414-7698-4E2B-842D-826208B11EF4}"/>
    <cellStyle name="Normal 15 2 2" xfId="3863" xr:uid="{57EE8284-3658-4312-8C68-AD7FC0E52643}"/>
    <cellStyle name="Normal 15 3" xfId="3862" xr:uid="{233D11E0-0787-4E99-B3B4-99C06B202071}"/>
    <cellStyle name="Normal 15 4" xfId="2922" xr:uid="{42E9E598-52A7-4C2D-82A7-405915E525D8}"/>
    <cellStyle name="Normal 16" xfId="618" xr:uid="{8DB39564-67F8-484F-B1B0-00D66C338C64}"/>
    <cellStyle name="Normal 16 10" xfId="1259" xr:uid="{D11C47E5-D4E7-45C3-BB82-0A752B1F0015}"/>
    <cellStyle name="Normal 16 11" xfId="1015" xr:uid="{57D040D4-503F-40A1-90CD-1615B5E01440}"/>
    <cellStyle name="Normal 16 12" xfId="1525" xr:uid="{A8C1394D-571A-4DF2-9A7A-F3A896CB1989}"/>
    <cellStyle name="Normal 16 13" xfId="2924" xr:uid="{114D081D-1C79-4E85-9EF4-21EDE936AFD0}"/>
    <cellStyle name="Normal 16 2" xfId="702" xr:uid="{B5CB81A1-FB5B-4416-AC23-B698BDCF35B9}"/>
    <cellStyle name="Normal 16 2 10" xfId="2925" xr:uid="{A40BBB77-48AF-4DF1-B704-5535B9B2E1D5}"/>
    <cellStyle name="Normal 16 2 2" xfId="719" xr:uid="{5B176D0D-6DDB-4F20-AC89-9B6D4F4B0722}"/>
    <cellStyle name="Normal 16 2 2 2" xfId="756" xr:uid="{CCED57E6-7CA4-42AD-800A-C43BD096FC98}"/>
    <cellStyle name="Normal 16 2 2 2 2" xfId="911" xr:uid="{EE8A9668-9D87-4B4A-BE05-070C101A8FA1}"/>
    <cellStyle name="Normal 16 2 2 2 2 2" xfId="1242" xr:uid="{8D2422FC-6AEF-4678-A368-A8C1CFEFEE16}"/>
    <cellStyle name="Normal 16 2 2 2 2 2 2" xfId="1475" xr:uid="{4298163A-3ADA-4F1D-AC69-9D98741656A0}"/>
    <cellStyle name="Normal 16 2 2 2 2 3" xfId="1359" xr:uid="{2E131CCB-E43A-4F00-BA88-6385D22F28ED}"/>
    <cellStyle name="Normal 16 2 2 2 2 4" xfId="1123" xr:uid="{37527739-35E6-4706-BBB9-48C6880812AD}"/>
    <cellStyle name="Normal 16 2 2 2 3" xfId="981" xr:uid="{8BCD1CF9-8159-48C3-A165-AB962B87DDD7}"/>
    <cellStyle name="Normal 16 2 2 2 3 2" xfId="1419" xr:uid="{2E9F9722-3CA5-438D-8D6D-7738B0984467}"/>
    <cellStyle name="Normal 16 2 2 2 3 3" xfId="1186" xr:uid="{0E503507-8660-44E0-94C7-F4E10870FF0B}"/>
    <cellStyle name="Normal 16 2 2 2 4" xfId="1303" xr:uid="{979F8276-91F2-47BD-99EF-32588E3605B6}"/>
    <cellStyle name="Normal 16 2 2 2 5" xfId="1066" xr:uid="{86B17F5B-CA6B-4804-949E-F7C2D7ECC56E}"/>
    <cellStyle name="Normal 16 2 2 3" xfId="878" xr:uid="{6FAF650D-7924-4E92-A807-3B59CA51A462}"/>
    <cellStyle name="Normal 16 2 2 3 2" xfId="1212" xr:uid="{BB7F1923-A612-4363-8D4D-F99B8D66B336}"/>
    <cellStyle name="Normal 16 2 2 3 2 2" xfId="1445" xr:uid="{C0CB804A-C941-42EF-8135-ACB20316F4A0}"/>
    <cellStyle name="Normal 16 2 2 3 3" xfId="1329" xr:uid="{026C5EC5-B00A-428E-B16E-AF795C02B991}"/>
    <cellStyle name="Normal 16 2 2 3 4" xfId="1093" xr:uid="{4214FC4B-0897-4487-97F8-6039ABE03C3E}"/>
    <cellStyle name="Normal 16 2 2 4" xfId="951" xr:uid="{89A58685-58FB-4DDC-81B9-B8F938BFE0FA}"/>
    <cellStyle name="Normal 16 2 2 4 2" xfId="1393" xr:uid="{1005D80C-7C29-4324-AE76-4D671E24769A}"/>
    <cellStyle name="Normal 16 2 2 4 3" xfId="1160" xr:uid="{06DDA56E-8B4F-42F1-ABFE-7C780EBB1C9A}"/>
    <cellStyle name="Normal 16 2 2 5" xfId="1277" xr:uid="{EDBECFEE-4A06-4E5F-AB9B-FDDD8FB34AA6}"/>
    <cellStyle name="Normal 16 2 2 6" xfId="1040" xr:uid="{7A69416D-089B-4BE5-8DA8-8A862B132B79}"/>
    <cellStyle name="Normal 16 2 2 7" xfId="3865" xr:uid="{224EB9A0-B760-43C8-96FF-88E87C58EBA6}"/>
    <cellStyle name="Normal 16 2 3" xfId="727" xr:uid="{8181242A-1029-403B-A479-2C6824647F65}"/>
    <cellStyle name="Normal 16 2 3 2" xfId="764" xr:uid="{78E809B7-D6B6-4C18-A303-F0AA97DDBDF7}"/>
    <cellStyle name="Normal 16 2 3 2 2" xfId="919" xr:uid="{357A0A9F-B97F-4B6F-9EBD-E523BC482569}"/>
    <cellStyle name="Normal 16 2 3 2 2 2" xfId="1250" xr:uid="{D598DA34-F80F-4574-BBC9-6E38E030DE9C}"/>
    <cellStyle name="Normal 16 2 3 2 2 2 2" xfId="1483" xr:uid="{D252604A-7F20-4973-8D31-A5183EB044BD}"/>
    <cellStyle name="Normal 16 2 3 2 2 3" xfId="1367" xr:uid="{872C178D-A946-4E4A-A209-F681FC201A68}"/>
    <cellStyle name="Normal 16 2 3 2 2 4" xfId="1131" xr:uid="{4F94F7D6-5F4C-4C58-A10F-3D93FB5A55EC}"/>
    <cellStyle name="Normal 16 2 3 2 3" xfId="989" xr:uid="{1480CC62-9DAF-46C4-AD79-E2B7813983F4}"/>
    <cellStyle name="Normal 16 2 3 2 3 2" xfId="1427" xr:uid="{EEA6FC4A-320C-474D-9ACF-041CAE492F1E}"/>
    <cellStyle name="Normal 16 2 3 2 3 3" xfId="1194" xr:uid="{5FB7FA9C-C8C8-42E6-AE95-C79E305A6BA6}"/>
    <cellStyle name="Normal 16 2 3 2 4" xfId="1311" xr:uid="{1D1584EB-8D99-4475-80BF-CA938E0FF133}"/>
    <cellStyle name="Normal 16 2 3 2 5" xfId="1074" xr:uid="{8CE72E2A-58BB-4597-B672-E5D5D011747D}"/>
    <cellStyle name="Normal 16 2 3 3" xfId="886" xr:uid="{5DA7AE01-DF8F-4A33-A683-FA46AF0BB6FF}"/>
    <cellStyle name="Normal 16 2 3 3 2" xfId="1220" xr:uid="{83029381-99CF-447A-9F99-46DD7D22EBF4}"/>
    <cellStyle name="Normal 16 2 3 3 2 2" xfId="1453" xr:uid="{C29BBBF3-C86B-464A-8894-7BD0B0CE222E}"/>
    <cellStyle name="Normal 16 2 3 3 3" xfId="1337" xr:uid="{FC98BCE8-3FCF-4A57-A930-2B978B575E32}"/>
    <cellStyle name="Normal 16 2 3 3 4" xfId="1101" xr:uid="{7C7F496A-2C9B-4DB1-9C43-F623F0CB6591}"/>
    <cellStyle name="Normal 16 2 3 4" xfId="959" xr:uid="{FDA52B70-09C9-4EA2-A9AE-07EF412D60B4}"/>
    <cellStyle name="Normal 16 2 3 4 2" xfId="1401" xr:uid="{B01EF6BA-5909-47FB-94D8-990C9F7ABCE2}"/>
    <cellStyle name="Normal 16 2 3 4 3" xfId="1168" xr:uid="{87AAA9C8-38FB-4BA1-B6D4-52E6F91A1C4C}"/>
    <cellStyle name="Normal 16 2 3 5" xfId="1285" xr:uid="{97EE116A-7435-49E1-9080-E3B0765CF90B}"/>
    <cellStyle name="Normal 16 2 3 6" xfId="1048" xr:uid="{F1C4B3D3-061F-4A83-9412-5A316539AC10}"/>
    <cellStyle name="Normal 16 2 4" xfId="748" xr:uid="{003B8D2F-52A8-48F4-9228-654CB9468373}"/>
    <cellStyle name="Normal 16 2 4 2" xfId="903" xr:uid="{72E27FE8-97D9-4F89-AE82-E538AEEA42F2}"/>
    <cellStyle name="Normal 16 2 4 2 2" xfId="1234" xr:uid="{E797BDCF-554C-47DF-99C3-F7811DA4E312}"/>
    <cellStyle name="Normal 16 2 4 2 2 2" xfId="1467" xr:uid="{8A537419-5CB5-4956-B41F-351C1B7B1E04}"/>
    <cellStyle name="Normal 16 2 4 2 3" xfId="1351" xr:uid="{4B24532C-C426-4608-99ED-8DE66DB46408}"/>
    <cellStyle name="Normal 16 2 4 2 4" xfId="1115" xr:uid="{F96E555E-18E3-48D0-A7CF-EDFFCF8B6C48}"/>
    <cellStyle name="Normal 16 2 4 3" xfId="973" xr:uid="{80BE72E1-5B95-4FF6-81A6-5C3E36BA1281}"/>
    <cellStyle name="Normal 16 2 4 3 2" xfId="1385" xr:uid="{E1836667-345E-4348-AB82-6807F54570EB}"/>
    <cellStyle name="Normal 16 2 4 3 3" xfId="1152" xr:uid="{48A3CDD0-4359-4D55-A277-EF0A326D1B73}"/>
    <cellStyle name="Normal 16 2 4 4" xfId="1269" xr:uid="{25BE4342-2353-4828-9B45-469672BDA3F8}"/>
    <cellStyle name="Normal 16 2 4 5" xfId="1032" xr:uid="{D8FEFC3C-03C0-436A-B6F0-54ABB8426012}"/>
    <cellStyle name="Normal 16 2 5" xfId="867" xr:uid="{94397E37-06A9-4C98-8C7A-3F080653F666}"/>
    <cellStyle name="Normal 16 2 5 2" xfId="1178" xr:uid="{36857F4C-D30B-45F2-A807-D90702A26108}"/>
    <cellStyle name="Normal 16 2 5 2 2" xfId="1411" xr:uid="{57D3B334-254F-4A04-B084-BF45905564AB}"/>
    <cellStyle name="Normal 16 2 5 3" xfId="1295" xr:uid="{2EB076AC-55BB-4FAD-B567-D01CF76CD668}"/>
    <cellStyle name="Normal 16 2 5 4" xfId="1058" xr:uid="{701C20DC-C784-4E88-BCFC-3A954897E3D8}"/>
    <cellStyle name="Normal 16 2 6" xfId="943" xr:uid="{EB8BF13E-CA49-442A-A21B-491C54C4EF03}"/>
    <cellStyle name="Normal 16 2 6 2" xfId="1204" xr:uid="{6CBAC271-C332-4BB7-9C98-A5674A9D977F}"/>
    <cellStyle name="Normal 16 2 6 2 2" xfId="1437" xr:uid="{58294802-60FB-4308-8041-E761EAD08C59}"/>
    <cellStyle name="Normal 16 2 6 3" xfId="1321" xr:uid="{6AB800DB-38E9-406C-A358-173ABD9F97E2}"/>
    <cellStyle name="Normal 16 2 6 4" xfId="1085" xr:uid="{0800CD92-0CED-44DA-87C1-D87CB2577BE9}"/>
    <cellStyle name="Normal 16 2 7" xfId="1145" xr:uid="{5BEA8471-93C4-4F4A-B01A-D3C2D15F52F8}"/>
    <cellStyle name="Normal 16 2 7 2" xfId="1378" xr:uid="{E286ACE1-416B-4AE7-A618-A2950CA5912D}"/>
    <cellStyle name="Normal 16 2 8" xfId="1262" xr:uid="{9667BC3C-4D98-4C69-85D7-DF0356E78227}"/>
    <cellStyle name="Normal 16 2 9" xfId="1025" xr:uid="{F6FA6B5F-B0B8-4489-A2DF-9B1AA05F7B3E}"/>
    <cellStyle name="Normal 16 3" xfId="692" xr:uid="{75AFC1AB-C96C-4A7A-B1F8-1CBE54E53C8B}"/>
    <cellStyle name="Normal 16 3 2" xfId="745" xr:uid="{7ACC2397-C183-488E-BAB0-A35AF22A0232}"/>
    <cellStyle name="Normal 16 3 2 2" xfId="900" xr:uid="{CC56C255-3000-4976-B11A-C22C6006C2BD}"/>
    <cellStyle name="Normal 16 3 2 2 2" xfId="1231" xr:uid="{9102B0EE-CEED-4C5B-85B3-5CD58E587B30}"/>
    <cellStyle name="Normal 16 3 2 2 2 2" xfId="1464" xr:uid="{FAF5085B-5263-435D-A101-F7DA350026F5}"/>
    <cellStyle name="Normal 16 3 2 2 3" xfId="1348" xr:uid="{7A3F7C50-18E7-4F81-A568-30789E504B05}"/>
    <cellStyle name="Normal 16 3 2 2 4" xfId="1112" xr:uid="{33033AB1-B54C-4D0E-A57A-B5F4EAF19085}"/>
    <cellStyle name="Normal 16 3 2 3" xfId="970" xr:uid="{592E2029-CE45-42F4-A5F0-68CB25F990C5}"/>
    <cellStyle name="Normal 16 3 2 3 2" xfId="1408" xr:uid="{D0BB00D9-8E74-4835-8172-2500BF090980}"/>
    <cellStyle name="Normal 16 3 2 3 3" xfId="1175" xr:uid="{555F11FC-0FFA-4D50-B298-0B2BD0EC417C}"/>
    <cellStyle name="Normal 16 3 2 4" xfId="1292" xr:uid="{9EB1F452-8282-42A8-A521-AED9E558438D}"/>
    <cellStyle name="Normal 16 3 2 5" xfId="1055" xr:uid="{1ECE2BC0-98B3-4C95-9627-9350827B8964}"/>
    <cellStyle name="Normal 16 3 3" xfId="861" xr:uid="{AA74D108-1E6D-4538-BBBF-22C23DEA3B92}"/>
    <cellStyle name="Normal 16 3 3 2" xfId="1201" xr:uid="{3F2079A9-ADA6-474F-8A80-5ABBBFA141E3}"/>
    <cellStyle name="Normal 16 3 3 2 2" xfId="1434" xr:uid="{3610F4DB-46A2-4A87-9212-45C779594343}"/>
    <cellStyle name="Normal 16 3 3 3" xfId="1318" xr:uid="{40650D26-9659-4451-94DE-50DDC58FA0FC}"/>
    <cellStyle name="Normal 16 3 3 4" xfId="1082" xr:uid="{112FBEDC-618C-4338-9BE5-A0890D22D505}"/>
    <cellStyle name="Normal 16 3 4" xfId="940" xr:uid="{DF1E51C7-A3C3-441D-8D06-72D100FFB01E}"/>
    <cellStyle name="Normal 16 3 4 2" xfId="1382" xr:uid="{E5702181-C0C8-4BA9-A193-592F6C671E0E}"/>
    <cellStyle name="Normal 16 3 4 3" xfId="1149" xr:uid="{2596E483-19F4-47AA-BA41-34E801339111}"/>
    <cellStyle name="Normal 16 3 5" xfId="1266" xr:uid="{D9CE3EBE-49F0-4D58-ABE3-0F7215A9BC85}"/>
    <cellStyle name="Normal 16 3 6" xfId="1029" xr:uid="{EE401F4A-9970-4582-83DC-88A28DD98B3C}"/>
    <cellStyle name="Normal 16 3 7" xfId="3864" xr:uid="{4903CE10-FF6D-4486-8CFE-562F2B84ABEB}"/>
    <cellStyle name="Normal 16 4" xfId="716" xr:uid="{F94CDDB1-AC0E-45C9-9E5D-42E8F8937EC7}"/>
    <cellStyle name="Normal 16 4 2" xfId="753" xr:uid="{0F30F6BB-A628-408F-AFF4-147C9727888A}"/>
    <cellStyle name="Normal 16 4 2 2" xfId="908" xr:uid="{C2B5C1E4-D43C-48E5-B24E-A5FE2C7ADE62}"/>
    <cellStyle name="Normal 16 4 2 2 2" xfId="1239" xr:uid="{CDB9DCED-6BC2-47C6-AC63-504FA1793D4C}"/>
    <cellStyle name="Normal 16 4 2 2 2 2" xfId="1472" xr:uid="{29CD4C29-E0CA-4058-A84D-BB1FE7C39A66}"/>
    <cellStyle name="Normal 16 4 2 2 3" xfId="1356" xr:uid="{22F798B6-306F-4DF2-9EDF-C39A69EF75F7}"/>
    <cellStyle name="Normal 16 4 2 2 4" xfId="1120" xr:uid="{918BAB90-6D29-492C-8E36-770CE13C6185}"/>
    <cellStyle name="Normal 16 4 2 3" xfId="978" xr:uid="{C743BE88-30B7-4A77-BFDE-0D65DA21EDF9}"/>
    <cellStyle name="Normal 16 4 2 3 2" xfId="1416" xr:uid="{07469379-CAD4-46AD-913C-9C8844F80971}"/>
    <cellStyle name="Normal 16 4 2 3 3" xfId="1183" xr:uid="{CE51430F-DE24-4741-BF15-4356FEC478DC}"/>
    <cellStyle name="Normal 16 4 2 4" xfId="1300" xr:uid="{13188033-950F-4035-9540-8F761AB2F1BB}"/>
    <cellStyle name="Normal 16 4 2 5" xfId="1063" xr:uid="{E71989F3-B066-4A3D-9A41-D6457AA038F5}"/>
    <cellStyle name="Normal 16 4 3" xfId="875" xr:uid="{6B1972C1-3BDC-4BC2-9C6C-BE908A3AFF67}"/>
    <cellStyle name="Normal 16 4 3 2" xfId="1209" xr:uid="{C2B55D3C-6699-41B9-AB15-5A45144CEFF1}"/>
    <cellStyle name="Normal 16 4 3 2 2" xfId="1442" xr:uid="{1E535E8F-931B-40A4-B39E-B787ECC9506A}"/>
    <cellStyle name="Normal 16 4 3 3" xfId="1326" xr:uid="{BE5C968D-05EC-447B-B945-E2F3CC2206BC}"/>
    <cellStyle name="Normal 16 4 3 4" xfId="1090" xr:uid="{11A2E6CB-F2E4-4E5B-928C-62F98322B322}"/>
    <cellStyle name="Normal 16 4 4" xfId="948" xr:uid="{9B328873-1806-4082-B064-C7A23B75314F}"/>
    <cellStyle name="Normal 16 4 4 2" xfId="1390" xr:uid="{7AEB1605-5FD2-4024-91D9-891CD1546843}"/>
    <cellStyle name="Normal 16 4 4 3" xfId="1157" xr:uid="{0D92C57B-0246-46A8-A079-53C6CB3C8803}"/>
    <cellStyle name="Normal 16 4 5" xfId="1274" xr:uid="{BB64F024-BAC7-44C7-B8F7-13A1FAEC51DD}"/>
    <cellStyle name="Normal 16 4 6" xfId="1037" xr:uid="{A4933E40-6FC5-405E-A940-AA6D0C52D173}"/>
    <cellStyle name="Normal 16 5" xfId="724" xr:uid="{7ABCE511-FB84-43D8-8AFF-E536CB54C775}"/>
    <cellStyle name="Normal 16 5 2" xfId="761" xr:uid="{66781CC8-3178-4CC0-9384-C80324B91394}"/>
    <cellStyle name="Normal 16 5 2 2" xfId="916" xr:uid="{3D47E10A-E3FA-4933-AF77-389A88B36C62}"/>
    <cellStyle name="Normal 16 5 2 2 2" xfId="1247" xr:uid="{9EEE97D1-8904-4026-AFCB-1AE58CA518B4}"/>
    <cellStyle name="Normal 16 5 2 2 2 2" xfId="1480" xr:uid="{65162FBC-5C17-4D71-883C-7E26DC4617E8}"/>
    <cellStyle name="Normal 16 5 2 2 3" xfId="1364" xr:uid="{ECBD7176-25D0-4351-82B7-A206A0C35428}"/>
    <cellStyle name="Normal 16 5 2 2 4" xfId="1128" xr:uid="{B0005392-6A58-4646-9B1C-DB806894FBC0}"/>
    <cellStyle name="Normal 16 5 2 3" xfId="986" xr:uid="{2E26093C-AB4E-4760-B265-60BE2F318FB5}"/>
    <cellStyle name="Normal 16 5 2 3 2" xfId="1424" xr:uid="{1C563250-2DE2-49D5-A64A-CDC7D41AE731}"/>
    <cellStyle name="Normal 16 5 2 3 3" xfId="1191" xr:uid="{81C1BDF8-F98F-4459-AC5A-02C501FB301C}"/>
    <cellStyle name="Normal 16 5 2 4" xfId="1308" xr:uid="{34855590-3299-46E8-8AEF-DB5FAFD98962}"/>
    <cellStyle name="Normal 16 5 2 5" xfId="1071" xr:uid="{9B94545B-F5F1-4BA5-87C1-5BD7763A2A19}"/>
    <cellStyle name="Normal 16 5 3" xfId="883" xr:uid="{C7BEDDA9-3EA0-4519-8044-963237B8C57F}"/>
    <cellStyle name="Normal 16 5 3 2" xfId="1217" xr:uid="{6FD1A33E-7A6D-437F-BAAE-78F5BF240666}"/>
    <cellStyle name="Normal 16 5 3 2 2" xfId="1450" xr:uid="{6A67D5BC-98E4-4E92-A4C5-4B37B80254D6}"/>
    <cellStyle name="Normal 16 5 3 3" xfId="1334" xr:uid="{1C2E214E-6433-4C88-B51A-FCCF7270D323}"/>
    <cellStyle name="Normal 16 5 3 4" xfId="1098" xr:uid="{944A7916-B300-4BE8-92A0-56F7A459E40A}"/>
    <cellStyle name="Normal 16 5 4" xfId="956" xr:uid="{0BF55E71-56B9-4AED-B999-3F4BAD64225C}"/>
    <cellStyle name="Normal 16 5 4 2" xfId="1398" xr:uid="{9372F4C0-4C76-48A7-82FA-4E4DC2B6579C}"/>
    <cellStyle name="Normal 16 5 4 3" xfId="1165" xr:uid="{B6D83829-DBBE-44A9-A070-F40F3B710B59}"/>
    <cellStyle name="Normal 16 5 5" xfId="1282" xr:uid="{C2A1EC7C-8B6D-4FB3-8405-87E4108A8508}"/>
    <cellStyle name="Normal 16 5 6" xfId="1045" xr:uid="{7F9190FF-B1C3-4A13-AC17-4E3DCC037934}"/>
    <cellStyle name="Normal 16 6" xfId="742" xr:uid="{7C4D855B-77D0-4FD9-84A4-C646DB9A1136}"/>
    <cellStyle name="Normal 16 6 2" xfId="897" xr:uid="{92B84C2B-CD15-4FAE-ABCB-7F82DE028B7F}"/>
    <cellStyle name="Normal 16 6 2 2" xfId="1229" xr:uid="{3525B0DE-9753-4275-97BD-E94095C42BDD}"/>
    <cellStyle name="Normal 16 6 2 2 2" xfId="1462" xr:uid="{483AADAC-EDAA-4729-A915-4CFD2899E48B}"/>
    <cellStyle name="Normal 16 6 2 3" xfId="1346" xr:uid="{5E032A8D-DFE9-4B53-81BB-D6592597D222}"/>
    <cellStyle name="Normal 16 6 2 4" xfId="1110" xr:uid="{ED2CFEC9-EF56-4378-9B0A-9239B876CA55}"/>
    <cellStyle name="Normal 16 6 3" xfId="968" xr:uid="{E638FDF6-C53D-4113-883F-5F6B8E25A712}"/>
    <cellStyle name="Normal 16 6 3 2" xfId="1380" xr:uid="{5B87E875-39C3-4476-BC67-131E3C1BCF5D}"/>
    <cellStyle name="Normal 16 6 3 3" xfId="1147" xr:uid="{31A7468B-9D98-4F5A-9CFD-7A85237A6C52}"/>
    <cellStyle name="Normal 16 6 4" xfId="1264" xr:uid="{9031939C-395B-46CA-AC12-69BC813952AD}"/>
    <cellStyle name="Normal 16 6 5" xfId="1027" xr:uid="{E279AB78-14E9-4C44-882F-410D7439A979}"/>
    <cellStyle name="Normal 16 7" xfId="848" xr:uid="{E5C65F03-6086-43BE-9428-3E10061B96C8}"/>
    <cellStyle name="Normal 16 7 2" xfId="1173" xr:uid="{DF7B8223-8079-4A11-AA14-B842A1AB986C}"/>
    <cellStyle name="Normal 16 7 2 2" xfId="1406" xr:uid="{5BD90DF6-C9EE-4E63-B7B5-4243D1A33C2C}"/>
    <cellStyle name="Normal 16 7 3" xfId="1290" xr:uid="{1BB29B83-1557-44DD-829F-12EC44F3FB73}"/>
    <cellStyle name="Normal 16 7 4" xfId="1053" xr:uid="{1FD5B3C2-B6E5-42B2-B381-84051E674AED}"/>
    <cellStyle name="Normal 16 8" xfId="937" xr:uid="{DF0E4876-8E87-423C-BC2F-71A503FB00BC}"/>
    <cellStyle name="Normal 16 8 2" xfId="1199" xr:uid="{E4D6D739-EACB-4E1F-94EC-CA8554E496DF}"/>
    <cellStyle name="Normal 16 8 2 2" xfId="1432" xr:uid="{39ECDD55-84A6-4955-825C-E5B06481C532}"/>
    <cellStyle name="Normal 16 8 3" xfId="1316" xr:uid="{88801C65-8F38-43C1-AA37-1BE4356B18A7}"/>
    <cellStyle name="Normal 16 8 4" xfId="1080" xr:uid="{3D817D99-C614-4377-AB8D-D9735607212A}"/>
    <cellStyle name="Normal 16 9" xfId="1140" xr:uid="{8534E94A-8D28-48DF-973A-AC8924C02445}"/>
    <cellStyle name="Normal 16 9 2" xfId="1375" xr:uid="{7EAD7DFC-98F1-4BD8-8F03-C79EDBB3DB4C}"/>
    <cellStyle name="Normal 17" xfId="619" xr:uid="{0C8ADA19-BD56-4582-8D5B-93133CD00AB2}"/>
    <cellStyle name="Normal 17 10" xfId="1260" xr:uid="{9D0FD28E-A9D9-4E0F-9A5D-B2697CB29779}"/>
    <cellStyle name="Normal 17 11" xfId="1016" xr:uid="{0E12EE3F-6CC6-4ABA-9011-C6505CBD1CB3}"/>
    <cellStyle name="Normal 17 12" xfId="2926" xr:uid="{46EDE8F6-7D6F-4A50-B42D-9503BF55F8DC}"/>
    <cellStyle name="Normal 17 2" xfId="703" xr:uid="{CFA2D5BB-9ED6-4529-AC96-8FE18C873E09}"/>
    <cellStyle name="Normal 17 2 10" xfId="2927" xr:uid="{204E49E2-7EDB-49EF-BFFF-A9ADBECF4725}"/>
    <cellStyle name="Normal 17 2 2" xfId="720" xr:uid="{1EBE8604-2098-4E49-B17A-54E83EAC3E11}"/>
    <cellStyle name="Normal 17 2 2 2" xfId="757" xr:uid="{3DAF6FA3-C3EF-4D1F-8BE1-3263E59AC999}"/>
    <cellStyle name="Normal 17 2 2 2 2" xfId="912" xr:uid="{ACD4999E-093B-4FE1-8F29-4A2660D07D12}"/>
    <cellStyle name="Normal 17 2 2 2 2 2" xfId="1243" xr:uid="{502652A6-FAEA-4566-9776-309606FBB2D8}"/>
    <cellStyle name="Normal 17 2 2 2 2 2 2" xfId="1476" xr:uid="{75EE7E14-43D6-4A1A-BC47-72F4E2D9CE68}"/>
    <cellStyle name="Normal 17 2 2 2 2 3" xfId="1360" xr:uid="{BE93CB78-B43F-4E69-9AB5-8A9DFD95F185}"/>
    <cellStyle name="Normal 17 2 2 2 2 4" xfId="1124" xr:uid="{2DB3CD64-076E-4A80-82B3-EF8884AFB89D}"/>
    <cellStyle name="Normal 17 2 2 2 3" xfId="982" xr:uid="{B6605F7C-8B2F-4700-BB67-4306C9A47B08}"/>
    <cellStyle name="Normal 17 2 2 2 3 2" xfId="1420" xr:uid="{B79E8AF8-9E4C-4800-B097-E2D7638853F3}"/>
    <cellStyle name="Normal 17 2 2 2 3 3" xfId="1187" xr:uid="{FD380C7F-5973-4C40-8322-842654ED9E0B}"/>
    <cellStyle name="Normal 17 2 2 2 4" xfId="1304" xr:uid="{1E2B48F7-05F7-429B-9AE4-A67EB43A46A8}"/>
    <cellStyle name="Normal 17 2 2 2 5" xfId="1067" xr:uid="{402E278B-6047-48DA-A4F6-EE347BD0179D}"/>
    <cellStyle name="Normal 17 2 2 3" xfId="879" xr:uid="{05EEBCB2-86EC-4B17-83C9-DE3E35814002}"/>
    <cellStyle name="Normal 17 2 2 3 2" xfId="1213" xr:uid="{B3E7D3E9-7A9F-4382-8FB5-B95996F878C3}"/>
    <cellStyle name="Normal 17 2 2 3 2 2" xfId="1446" xr:uid="{D5A0F440-E2C1-42C3-AA08-F8C78AF7C7DD}"/>
    <cellStyle name="Normal 17 2 2 3 3" xfId="1330" xr:uid="{EFB53BCB-A63D-4239-9B75-96911782A9D1}"/>
    <cellStyle name="Normal 17 2 2 3 4" xfId="1094" xr:uid="{09291D5B-5481-449F-8581-C71B007BA015}"/>
    <cellStyle name="Normal 17 2 2 4" xfId="952" xr:uid="{8F89E512-C697-4EB4-87D5-E20F9B8BE6C5}"/>
    <cellStyle name="Normal 17 2 2 4 2" xfId="1394" xr:uid="{62905811-7623-43EC-AF28-3997FF25E1B7}"/>
    <cellStyle name="Normal 17 2 2 4 3" xfId="1161" xr:uid="{3AE1D3FA-E391-429C-90E3-243DA4DA4CD5}"/>
    <cellStyle name="Normal 17 2 2 5" xfId="1278" xr:uid="{A06D7E4B-18CC-401C-AEF8-F55BE35F20AC}"/>
    <cellStyle name="Normal 17 2 2 6" xfId="1041" xr:uid="{B0335D1D-3383-4AB6-96D4-2C6755759FB6}"/>
    <cellStyle name="Normal 17 2 2 7" xfId="3867" xr:uid="{DA2B76AA-8D86-43B0-8739-4C5C524152DC}"/>
    <cellStyle name="Normal 17 2 3" xfId="728" xr:uid="{A5C8C1FC-D8A5-4ABB-8CDB-365D53932044}"/>
    <cellStyle name="Normal 17 2 3 2" xfId="765" xr:uid="{13DD6223-EC1E-44C1-BE8B-37BF2213068C}"/>
    <cellStyle name="Normal 17 2 3 2 2" xfId="920" xr:uid="{337F0F65-7E7A-4069-9F28-F9B76104CDC2}"/>
    <cellStyle name="Normal 17 2 3 2 2 2" xfId="1251" xr:uid="{353A8B5D-C86D-4FD6-A322-69D8086D1BFB}"/>
    <cellStyle name="Normal 17 2 3 2 2 2 2" xfId="1484" xr:uid="{E73AC069-ADB5-42A5-8BED-1D1260F38E0E}"/>
    <cellStyle name="Normal 17 2 3 2 2 3" xfId="1368" xr:uid="{6756039F-96D3-4FF1-9D9A-6916EF4C2BC6}"/>
    <cellStyle name="Normal 17 2 3 2 2 4" xfId="1132" xr:uid="{4456BF40-DE8B-4B1C-8F07-6B5E8CFBFEF9}"/>
    <cellStyle name="Normal 17 2 3 2 3" xfId="990" xr:uid="{4B4725F8-97A7-4550-A7FD-7674EE55DECC}"/>
    <cellStyle name="Normal 17 2 3 2 3 2" xfId="1428" xr:uid="{2FBD4D6E-89E2-432B-AA58-37C443125F2A}"/>
    <cellStyle name="Normal 17 2 3 2 3 3" xfId="1195" xr:uid="{F2302B83-FA35-49F4-B655-6E419E2C146C}"/>
    <cellStyle name="Normal 17 2 3 2 4" xfId="1312" xr:uid="{03BBE647-9889-45E6-8EDE-22D34B532DF4}"/>
    <cellStyle name="Normal 17 2 3 2 5" xfId="1075" xr:uid="{37D26FD2-B030-409E-BC75-B9C9BE9031CB}"/>
    <cellStyle name="Normal 17 2 3 3" xfId="887" xr:uid="{E04AE7F0-ABAA-4296-B02E-E4974C8BF1BA}"/>
    <cellStyle name="Normal 17 2 3 3 2" xfId="1221" xr:uid="{C7C0A8C4-46E2-437A-A238-16A07BA036ED}"/>
    <cellStyle name="Normal 17 2 3 3 2 2" xfId="1454" xr:uid="{610FF6C8-6014-406B-BC99-69F61A1BBAE7}"/>
    <cellStyle name="Normal 17 2 3 3 3" xfId="1338" xr:uid="{24C071E4-3A93-46B3-94AF-F09564D638C2}"/>
    <cellStyle name="Normal 17 2 3 3 4" xfId="1102" xr:uid="{6BCB2BAD-477D-4DBB-9EE6-BE5C5ED5802B}"/>
    <cellStyle name="Normal 17 2 3 4" xfId="960" xr:uid="{FB8C2E85-0E24-45B3-B267-1EEC5CA239CF}"/>
    <cellStyle name="Normal 17 2 3 4 2" xfId="1402" xr:uid="{BD38EF6A-752D-400D-BC68-CCF1F161F409}"/>
    <cellStyle name="Normal 17 2 3 4 3" xfId="1169" xr:uid="{5893B61A-AAF4-43D7-817D-BAAFB720A6EC}"/>
    <cellStyle name="Normal 17 2 3 5" xfId="1286" xr:uid="{014A2F42-A31D-488D-BC4B-F5406149A7EA}"/>
    <cellStyle name="Normal 17 2 3 6" xfId="1049" xr:uid="{88F855C4-35BA-403E-B11A-3CE533AF9D05}"/>
    <cellStyle name="Normal 17 2 4" xfId="749" xr:uid="{3620A05B-98C5-43C6-9109-9F78263B8D89}"/>
    <cellStyle name="Normal 17 2 4 2" xfId="904" xr:uid="{8FA468AB-59EE-4DBE-9073-AB6ACC11F80F}"/>
    <cellStyle name="Normal 17 2 4 2 2" xfId="1235" xr:uid="{FFC613AE-E90A-408D-AC26-98D373A92CF0}"/>
    <cellStyle name="Normal 17 2 4 2 2 2" xfId="1468" xr:uid="{F4A75714-AC0B-4520-B5EF-338128CCE0F1}"/>
    <cellStyle name="Normal 17 2 4 2 3" xfId="1352" xr:uid="{6F86C44D-248C-47A5-BF71-384E7AB9F270}"/>
    <cellStyle name="Normal 17 2 4 2 4" xfId="1116" xr:uid="{C0A56955-4A7A-43FE-A985-1A486B07AA09}"/>
    <cellStyle name="Normal 17 2 4 3" xfId="974" xr:uid="{E07C0DBA-0A41-4290-8C7D-0005CEEF785B}"/>
    <cellStyle name="Normal 17 2 4 3 2" xfId="1386" xr:uid="{BCC36A8E-574A-469C-801E-52339ADF5917}"/>
    <cellStyle name="Normal 17 2 4 3 3" xfId="1153" xr:uid="{F0987453-FE76-41F8-B449-6AAD9F2CD659}"/>
    <cellStyle name="Normal 17 2 4 4" xfId="1270" xr:uid="{9FEBB37E-357F-455A-BEF0-719929976BF5}"/>
    <cellStyle name="Normal 17 2 4 5" xfId="1033" xr:uid="{4615AA88-DC6E-4468-A058-078599A32863}"/>
    <cellStyle name="Normal 17 2 5" xfId="868" xr:uid="{DD595C49-348E-40B5-AF66-7185CB735A47}"/>
    <cellStyle name="Normal 17 2 5 2" xfId="1179" xr:uid="{85575C0E-CFFB-44B5-B935-E86718699990}"/>
    <cellStyle name="Normal 17 2 5 2 2" xfId="1412" xr:uid="{5667843E-41FE-4245-BBAC-FC7BF7B4AFB1}"/>
    <cellStyle name="Normal 17 2 5 3" xfId="1296" xr:uid="{157B2810-8A51-4642-8977-37F15DA19DEF}"/>
    <cellStyle name="Normal 17 2 5 4" xfId="1059" xr:uid="{20F594DB-88CD-46CD-BEA6-662207481C20}"/>
    <cellStyle name="Normal 17 2 6" xfId="944" xr:uid="{AA5B70BC-C7AB-4483-8E85-6EF4B06EDA7D}"/>
    <cellStyle name="Normal 17 2 6 2" xfId="1205" xr:uid="{A522744E-6128-4326-ABDE-67EDC8A47D64}"/>
    <cellStyle name="Normal 17 2 6 2 2" xfId="1438" xr:uid="{52E2928F-B969-4ECA-975A-E325E67F422E}"/>
    <cellStyle name="Normal 17 2 6 3" xfId="1322" xr:uid="{CE4E576F-6AC8-406F-AD31-EBBC5BDF9071}"/>
    <cellStyle name="Normal 17 2 6 4" xfId="1086" xr:uid="{9D5AA504-4ECE-4186-B183-083996743460}"/>
    <cellStyle name="Normal 17 2 7" xfId="1146" xr:uid="{D3EBE66E-40A4-4180-8BA8-68688CEA24BE}"/>
    <cellStyle name="Normal 17 2 7 2" xfId="1379" xr:uid="{7256A73C-A3E1-4713-8FAF-A9C3A42D5B6D}"/>
    <cellStyle name="Normal 17 2 8" xfId="1263" xr:uid="{1F819A75-CA1B-48DC-8079-05677AE1A6E4}"/>
    <cellStyle name="Normal 17 2 9" xfId="1026" xr:uid="{8F222D93-5250-4C15-A997-2EF0D52B852C}"/>
    <cellStyle name="Normal 17 3" xfId="693" xr:uid="{68935E0D-1D5C-4414-8497-28224F03542D}"/>
    <cellStyle name="Normal 17 3 2" xfId="746" xr:uid="{206CDE47-5A3E-423C-A9C3-7B81011D390F}"/>
    <cellStyle name="Normal 17 3 2 2" xfId="901" xr:uid="{4C8DF936-1C1D-4E51-B2E9-F0007B05ACA8}"/>
    <cellStyle name="Normal 17 3 2 2 2" xfId="1232" xr:uid="{8DB694D3-9CD5-4F14-AEB9-FD83367C156C}"/>
    <cellStyle name="Normal 17 3 2 2 2 2" xfId="1465" xr:uid="{42B57218-640D-48F4-975D-DBA82F606C0C}"/>
    <cellStyle name="Normal 17 3 2 2 3" xfId="1349" xr:uid="{08C15CB4-F96C-44B2-BA2F-F254F0255E97}"/>
    <cellStyle name="Normal 17 3 2 2 4" xfId="1113" xr:uid="{698B24CD-66FD-4E57-A84E-E77E663D8542}"/>
    <cellStyle name="Normal 17 3 2 3" xfId="971" xr:uid="{16E6F15B-4210-41DB-B163-B7A34BD63DEB}"/>
    <cellStyle name="Normal 17 3 2 3 2" xfId="1409" xr:uid="{B452BCB9-47C5-459F-A327-3EA043FEA36B}"/>
    <cellStyle name="Normal 17 3 2 3 3" xfId="1176" xr:uid="{ADC19205-746F-4D16-90D9-8DCF15CFD2D9}"/>
    <cellStyle name="Normal 17 3 2 4" xfId="1293" xr:uid="{847C85AA-4340-4C83-B5FC-2DC2B5EF0FBA}"/>
    <cellStyle name="Normal 17 3 2 5" xfId="1056" xr:uid="{59588DBB-D53C-422A-86E6-D973A2EFC67D}"/>
    <cellStyle name="Normal 17 3 3" xfId="862" xr:uid="{E821CCC4-2ED2-48AF-9BE5-9DEDE9BBAA13}"/>
    <cellStyle name="Normal 17 3 3 2" xfId="1202" xr:uid="{88B82FD4-9A99-49FD-B21F-689F1DF79D8C}"/>
    <cellStyle name="Normal 17 3 3 2 2" xfId="1435" xr:uid="{EF2E9229-CECC-4276-BAEE-8672D79758B7}"/>
    <cellStyle name="Normal 17 3 3 3" xfId="1319" xr:uid="{9C8A78C1-845A-4F29-AF1D-56911F602A99}"/>
    <cellStyle name="Normal 17 3 3 4" xfId="1083" xr:uid="{FB019EEA-7D0A-469F-BC6A-1285D612795D}"/>
    <cellStyle name="Normal 17 3 4" xfId="941" xr:uid="{52867957-FFF7-48B6-9B17-A989E6C8A0B2}"/>
    <cellStyle name="Normal 17 3 4 2" xfId="1383" xr:uid="{C48C4861-227D-4B95-85DE-E4C0370B926D}"/>
    <cellStyle name="Normal 17 3 4 3" xfId="1150" xr:uid="{5EFD09B4-E4D0-46F5-90C6-E375600417DC}"/>
    <cellStyle name="Normal 17 3 5" xfId="1267" xr:uid="{62979EED-BD06-46FB-9101-F36E293C0670}"/>
    <cellStyle name="Normal 17 3 6" xfId="1030" xr:uid="{6F40A419-61CA-4C7F-95CA-044B2716B425}"/>
    <cellStyle name="Normal 17 3 7" xfId="3866" xr:uid="{62269035-3BFF-40DD-8C83-F1FB2E89F4E0}"/>
    <cellStyle name="Normal 17 4" xfId="717" xr:uid="{35F0E75A-F324-441A-B6E2-1D0F2335A49B}"/>
    <cellStyle name="Normal 17 4 2" xfId="754" xr:uid="{25264894-6F5F-4DDE-B8F2-8D17C95AA2E7}"/>
    <cellStyle name="Normal 17 4 2 2" xfId="909" xr:uid="{8EEB88AF-EFBC-4D1C-9C5D-E3D185023C8E}"/>
    <cellStyle name="Normal 17 4 2 2 2" xfId="1240" xr:uid="{6F9D1665-4F6D-4EA6-A822-014B836AA3C7}"/>
    <cellStyle name="Normal 17 4 2 2 2 2" xfId="1473" xr:uid="{CD23C841-4A82-4FC3-803B-E1D1DAB2CD2B}"/>
    <cellStyle name="Normal 17 4 2 2 3" xfId="1357" xr:uid="{220BA773-23DF-433E-922E-C9B85B8C8E05}"/>
    <cellStyle name="Normal 17 4 2 2 4" xfId="1121" xr:uid="{865E67F9-CBCC-42D3-9CAF-E63504F7A099}"/>
    <cellStyle name="Normal 17 4 2 3" xfId="979" xr:uid="{8E203D50-73A4-4CF3-8509-EADCB9D4FC31}"/>
    <cellStyle name="Normal 17 4 2 3 2" xfId="1417" xr:uid="{86509580-1F4F-4EAE-9176-4D556341A209}"/>
    <cellStyle name="Normal 17 4 2 3 3" xfId="1184" xr:uid="{E0474D88-2F72-4786-A49E-55F57A32B388}"/>
    <cellStyle name="Normal 17 4 2 4" xfId="1301" xr:uid="{5324FA6F-2DB8-4E3B-BC31-CEEF42E0E3CB}"/>
    <cellStyle name="Normal 17 4 2 5" xfId="1064" xr:uid="{6C4E3330-023B-4453-91BA-B4B6E22DC740}"/>
    <cellStyle name="Normal 17 4 3" xfId="876" xr:uid="{1592777B-A6B4-4F98-8804-6D326395896C}"/>
    <cellStyle name="Normal 17 4 3 2" xfId="1210" xr:uid="{2FD04ACF-6506-4C5D-89DD-748D25DD653A}"/>
    <cellStyle name="Normal 17 4 3 2 2" xfId="1443" xr:uid="{2F2BCFFD-A177-4BBA-AE1F-484628EE067D}"/>
    <cellStyle name="Normal 17 4 3 3" xfId="1327" xr:uid="{42995D10-73E0-49A5-9C20-F37A7928C69F}"/>
    <cellStyle name="Normal 17 4 3 4" xfId="1091" xr:uid="{177943BF-07D7-4559-97FC-3BA18A03138C}"/>
    <cellStyle name="Normal 17 4 4" xfId="949" xr:uid="{DFC7FAE4-3643-41C2-94B8-F090B0519A05}"/>
    <cellStyle name="Normal 17 4 4 2" xfId="1391" xr:uid="{CC7678E2-BDF9-468F-BB28-05D2134E690B}"/>
    <cellStyle name="Normal 17 4 4 3" xfId="1158" xr:uid="{4F1766F4-C329-4FBB-A0C1-7155F5D19FE0}"/>
    <cellStyle name="Normal 17 4 5" xfId="1275" xr:uid="{C8534591-2672-4F75-B65B-7DD9E55B5E39}"/>
    <cellStyle name="Normal 17 4 6" xfId="1038" xr:uid="{77F65398-7BD2-4D4F-BF5A-58102FBB3652}"/>
    <cellStyle name="Normal 17 5" xfId="725" xr:uid="{A24DFF2F-6B8A-4767-997E-88A4AFDD2B85}"/>
    <cellStyle name="Normal 17 5 2" xfId="762" xr:uid="{75CF2383-B76B-4F21-8C17-A0D363E7C3DF}"/>
    <cellStyle name="Normal 17 5 2 2" xfId="917" xr:uid="{ADEBF3E4-E659-4346-8FAE-A828D31F6B43}"/>
    <cellStyle name="Normal 17 5 2 2 2" xfId="1248" xr:uid="{F57928BE-4B83-4A2E-98F1-DB72774D2E88}"/>
    <cellStyle name="Normal 17 5 2 2 2 2" xfId="1481" xr:uid="{2FAD08A2-5C61-45BE-A519-528B62B00B02}"/>
    <cellStyle name="Normal 17 5 2 2 3" xfId="1365" xr:uid="{8B81E238-58EE-45FC-87B8-4D04211DF775}"/>
    <cellStyle name="Normal 17 5 2 2 4" xfId="1129" xr:uid="{97879DD8-2561-4A7A-B6EB-E2414F87926A}"/>
    <cellStyle name="Normal 17 5 2 3" xfId="987" xr:uid="{11F9E366-F13C-4D97-AB0F-D9FB3F32ABC9}"/>
    <cellStyle name="Normal 17 5 2 3 2" xfId="1425" xr:uid="{3E928DE1-B53B-48EF-BA4E-E7A6DD4D737F}"/>
    <cellStyle name="Normal 17 5 2 3 3" xfId="1192" xr:uid="{9FEA8468-90DD-4247-89AA-16FEA54D859D}"/>
    <cellStyle name="Normal 17 5 2 4" xfId="1309" xr:uid="{B43775D6-0ED0-41A4-99D6-150F2F2CC7CB}"/>
    <cellStyle name="Normal 17 5 2 5" xfId="1072" xr:uid="{3F5DC931-95AF-40DD-91E6-BA2EDC3555A9}"/>
    <cellStyle name="Normal 17 5 3" xfId="884" xr:uid="{163864C0-9935-40BE-A215-A01A44F0F7B6}"/>
    <cellStyle name="Normal 17 5 3 2" xfId="1218" xr:uid="{5FB9DEAE-FFF5-4FD2-BAAA-4B6F35C26FE0}"/>
    <cellStyle name="Normal 17 5 3 2 2" xfId="1451" xr:uid="{DE1A967D-9801-4126-AA85-5C8D923D3368}"/>
    <cellStyle name="Normal 17 5 3 3" xfId="1335" xr:uid="{5782A3BC-0B11-47DB-A211-BA8AD8F7FA2C}"/>
    <cellStyle name="Normal 17 5 3 4" xfId="1099" xr:uid="{B7E96E4C-FB8D-4B95-A3B1-62B343EDACF1}"/>
    <cellStyle name="Normal 17 5 4" xfId="957" xr:uid="{EC4AF60B-D2FC-4643-95C3-FEDD34ED0D2F}"/>
    <cellStyle name="Normal 17 5 4 2" xfId="1399" xr:uid="{92A4151B-4D7B-4769-8D96-4EB63D0EA207}"/>
    <cellStyle name="Normal 17 5 4 3" xfId="1166" xr:uid="{067C92E1-A9CF-43C1-BD13-690C7944B320}"/>
    <cellStyle name="Normal 17 5 5" xfId="1283" xr:uid="{065AFA6A-A4F8-464A-9C88-74A22307F767}"/>
    <cellStyle name="Normal 17 5 6" xfId="1046" xr:uid="{4700386D-A247-4FD2-B19D-0B1EA4B0E255}"/>
    <cellStyle name="Normal 17 6" xfId="743" xr:uid="{A4540657-B022-4F85-AFC4-A340C870A792}"/>
    <cellStyle name="Normal 17 6 2" xfId="898" xr:uid="{7A42F428-6670-4A18-BB59-CAFEFAE0DE1A}"/>
    <cellStyle name="Normal 17 6 2 2" xfId="1230" xr:uid="{67370C1E-DAD0-487F-B6E6-B41F8D1B508C}"/>
    <cellStyle name="Normal 17 6 2 2 2" xfId="1463" xr:uid="{0CF29D3F-9D6B-4765-B508-332F6BEE3D7D}"/>
    <cellStyle name="Normal 17 6 2 3" xfId="1347" xr:uid="{1E92CFAF-5D1E-43E9-9250-8BA75DEB512A}"/>
    <cellStyle name="Normal 17 6 2 4" xfId="1111" xr:uid="{4D229EF9-1901-4FC3-865F-ABAFD90C1AA5}"/>
    <cellStyle name="Normal 17 6 3" xfId="969" xr:uid="{EE84494F-BDA9-4741-98DD-9C7ED8C29EF0}"/>
    <cellStyle name="Normal 17 6 3 2" xfId="1381" xr:uid="{5D7C942F-AA4C-4336-B1FD-810FF7D084B2}"/>
    <cellStyle name="Normal 17 6 3 3" xfId="1148" xr:uid="{42620923-1847-4C00-9464-5952F4800321}"/>
    <cellStyle name="Normal 17 6 4" xfId="1265" xr:uid="{B873A1EC-0097-40D5-83B2-AF5FC909A94A}"/>
    <cellStyle name="Normal 17 6 5" xfId="1028" xr:uid="{AC834ABA-6672-425E-9FA4-10EBC7E2196A}"/>
    <cellStyle name="Normal 17 7" xfId="849" xr:uid="{34B84DEA-A298-4EA0-A7A7-95D392CD29F1}"/>
    <cellStyle name="Normal 17 7 2" xfId="1174" xr:uid="{04B7D608-EB86-4A13-9654-42CD872B979A}"/>
    <cellStyle name="Normal 17 7 2 2" xfId="1407" xr:uid="{1956920F-67E2-4BC9-B803-A34B5EA324CA}"/>
    <cellStyle name="Normal 17 7 3" xfId="1291" xr:uid="{B5DCE034-9942-40F8-98A6-73AEE4016414}"/>
    <cellStyle name="Normal 17 7 4" xfId="1054" xr:uid="{26FCC237-0C2F-4CB3-891B-D0324D0D6621}"/>
    <cellStyle name="Normal 17 8" xfId="938" xr:uid="{863D58B4-67A7-46A3-BE9F-33041A17C191}"/>
    <cellStyle name="Normal 17 8 2" xfId="1200" xr:uid="{90782097-25FB-4664-8A77-EEB7A3B6145A}"/>
    <cellStyle name="Normal 17 8 2 2" xfId="1433" xr:uid="{1119AC7F-CA67-43C1-9456-F7C030F2D556}"/>
    <cellStyle name="Normal 17 8 3" xfId="1317" xr:uid="{C5BD4232-BB8B-4895-BB9E-4F56BDC4CF17}"/>
    <cellStyle name="Normal 17 8 4" xfId="1081" xr:uid="{3D464836-DDE2-40A4-9965-B5AB95DD4544}"/>
    <cellStyle name="Normal 17 9" xfId="1141" xr:uid="{27FF594B-3426-4334-AC30-72A95E6ED509}"/>
    <cellStyle name="Normal 17 9 2" xfId="1376" xr:uid="{B677D755-B870-4A19-9DF0-7951320D29DD}"/>
    <cellStyle name="Normal 18" xfId="620" xr:uid="{09A9475D-00B9-41C7-B868-A5CF0338B76F}"/>
    <cellStyle name="Normal 18 2" xfId="2928" xr:uid="{3AFF2F77-DB2D-4829-A701-9CF2A6D7883B}"/>
    <cellStyle name="Normal 18 2 2" xfId="3868" xr:uid="{CE9E31E4-F1DD-49D9-A03D-F2962A9A96F1}"/>
    <cellStyle name="Normal 19" xfId="621" xr:uid="{B973DB66-FA23-46B4-9FF6-CA79D11B2E33}"/>
    <cellStyle name="Normal 19 2" xfId="704" xr:uid="{225131FA-D994-4E42-B7C9-15F0E63BA725}"/>
    <cellStyle name="Normal 19 3" xfId="694" xr:uid="{36CABFBA-090E-429A-8EB8-9CF02AE4E5D3}"/>
    <cellStyle name="Normal 19 4" xfId="2929" xr:uid="{8AC139F8-3B0D-4D79-9834-C2084B5024DF}"/>
    <cellStyle name="Normal 19 4 2" xfId="3869" xr:uid="{6FA7168F-93BF-462B-B198-B3CBAFFCD096}"/>
    <cellStyle name="Normal 2" xfId="4" xr:uid="{00000000-0005-0000-0000-00004A000000}"/>
    <cellStyle name="Normal 2 2" xfId="75" xr:uid="{00000000-0005-0000-0000-00004B000000}"/>
    <cellStyle name="Normal 2 2 10" xfId="705" xr:uid="{CA1BBAB5-9838-44F4-A3C7-C547B1B82236}"/>
    <cellStyle name="Normal 2 2 11" xfId="1526" xr:uid="{57271AA0-5F05-42AE-B8D2-D414B40CCC90}"/>
    <cellStyle name="Normal 2 2 2" xfId="721" xr:uid="{81119045-5A70-4725-8384-9E5E44ABD044}"/>
    <cellStyle name="Normal 2 2 2 2" xfId="758" xr:uid="{72174117-546D-4704-8FF4-6D5F2A81DA61}"/>
    <cellStyle name="Normal 2 2 2 2 2" xfId="913" xr:uid="{0C582D7A-694B-42A9-9C38-109820C7D571}"/>
    <cellStyle name="Normal 2 2 2 2 2 2" xfId="1244" xr:uid="{077F67D4-A6C7-4473-A2D1-2FA00BAB1F66}"/>
    <cellStyle name="Normal 2 2 2 2 2 2 2" xfId="1477" xr:uid="{F38D73C5-9CB3-46AE-8555-C3D428026777}"/>
    <cellStyle name="Normal 2 2 2 2 2 3" xfId="1361" xr:uid="{4BBE02DC-4C8E-41F1-9740-627396D6E249}"/>
    <cellStyle name="Normal 2 2 2 2 2 4" xfId="1125" xr:uid="{022ABC52-05D5-4556-9219-79815A02FCBB}"/>
    <cellStyle name="Normal 2 2 2 2 2 5" xfId="3870" xr:uid="{FE447DD1-C5FF-4ABF-8B5F-566466584F0B}"/>
    <cellStyle name="Normal 2 2 2 2 3" xfId="983" xr:uid="{8BE6A34C-EAF3-4C95-A4BD-FE3EF66F6588}"/>
    <cellStyle name="Normal 2 2 2 2 3 2" xfId="1421" xr:uid="{1C613E25-3945-4ED8-AF2F-7A5E9BEF855D}"/>
    <cellStyle name="Normal 2 2 2 2 3 3" xfId="1188" xr:uid="{5EABED71-0C03-45DF-9FAE-79C064ED7440}"/>
    <cellStyle name="Normal 2 2 2 2 4" xfId="1305" xr:uid="{6EE571EA-39CF-4979-8AF0-2B337C76DAFD}"/>
    <cellStyle name="Normal 2 2 2 2 5" xfId="1068" xr:uid="{A2199429-685F-4F4C-AA7D-FC1057DD5885}"/>
    <cellStyle name="Normal 2 2 2 2 6" xfId="2931" xr:uid="{1780D12A-EB83-4904-9693-43555050FF76}"/>
    <cellStyle name="Normal 2 2 2 3" xfId="880" xr:uid="{6AA8A082-7AFA-4A11-A3F6-3B5FC3B71A4F}"/>
    <cellStyle name="Normal 2 2 2 3 2" xfId="1214" xr:uid="{FAFDC8D5-1C87-419B-9E9A-E03BF6995A88}"/>
    <cellStyle name="Normal 2 2 2 3 2 2" xfId="1447" xr:uid="{7655CE8C-3B8C-44AF-9C50-EEE8829E1B66}"/>
    <cellStyle name="Normal 2 2 2 3 3" xfId="1331" xr:uid="{4674F0CB-21D6-41E7-8B82-7F0E14278A38}"/>
    <cellStyle name="Normal 2 2 2 3 4" xfId="1095" xr:uid="{DD327DFF-F19A-4E2E-BE46-8FAC7FE49EC6}"/>
    <cellStyle name="Normal 2 2 2 4" xfId="953" xr:uid="{9DBE9E37-E803-4CBA-8F1B-10E7C19DBADD}"/>
    <cellStyle name="Normal 2 2 2 4 2" xfId="1395" xr:uid="{E70F19D2-AB14-451B-B5CD-82C50138C78F}"/>
    <cellStyle name="Normal 2 2 2 4 3" xfId="1162" xr:uid="{75E2EDE9-F4BD-4E39-AD96-7762D6DB71DB}"/>
    <cellStyle name="Normal 2 2 2 5" xfId="1279" xr:uid="{3E25AA25-8913-46C9-B689-C4FA6F331DFA}"/>
    <cellStyle name="Normal 2 2 2 6" xfId="1042" xr:uid="{5916A03E-A346-4288-B952-171E8A3E873C}"/>
    <cellStyle name="Normal 2 2 2 7" xfId="2930" xr:uid="{AAE6A956-1C37-4D6C-BD0F-BC99D4E6B0F1}"/>
    <cellStyle name="Normal 2 2 3" xfId="729" xr:uid="{5BDCD611-EE52-4191-A0FF-979F64C33CE7}"/>
    <cellStyle name="Normal 2 2 3 2" xfId="766" xr:uid="{7DB5C444-4376-462B-A22B-49898CA5BAA2}"/>
    <cellStyle name="Normal 2 2 3 2 2" xfId="921" xr:uid="{971C25AF-0870-44E1-B9CD-91DB230146E1}"/>
    <cellStyle name="Normal 2 2 3 2 2 2" xfId="1252" xr:uid="{47E5B946-CB13-4F41-89B4-499E5B9ED1CB}"/>
    <cellStyle name="Normal 2 2 3 2 2 2 2" xfId="1485" xr:uid="{B39FC8D3-28A8-4C73-BE1C-E8F278F86545}"/>
    <cellStyle name="Normal 2 2 3 2 2 3" xfId="1369" xr:uid="{5A436301-99CA-4528-962C-32004EB383A5}"/>
    <cellStyle name="Normal 2 2 3 2 2 4" xfId="1133" xr:uid="{CC378B41-ECE0-4D32-A8FF-732A3010345A}"/>
    <cellStyle name="Normal 2 2 3 2 3" xfId="991" xr:uid="{3300C1A9-2DD4-45B9-933F-C71F262FEE86}"/>
    <cellStyle name="Normal 2 2 3 2 3 2" xfId="1429" xr:uid="{EFBCE65B-5044-4357-A2EE-474FF6DD7698}"/>
    <cellStyle name="Normal 2 2 3 2 3 3" xfId="1196" xr:uid="{C9E52917-7157-4F83-AC0F-2D69E873B98D}"/>
    <cellStyle name="Normal 2 2 3 2 4" xfId="1313" xr:uid="{F83E3E6B-7162-427D-A2AF-256B98FFFFD0}"/>
    <cellStyle name="Normal 2 2 3 2 5" xfId="1076" xr:uid="{89D981D5-1E03-4E3B-B829-5FD43A7CE54D}"/>
    <cellStyle name="Normal 2 2 3 3" xfId="888" xr:uid="{5C137E0E-2634-4791-A619-089A80E8A734}"/>
    <cellStyle name="Normal 2 2 3 3 2" xfId="1222" xr:uid="{D575FA7D-06C1-4407-BED9-A03937FF2D5B}"/>
    <cellStyle name="Normal 2 2 3 3 2 2" xfId="1455" xr:uid="{952CCB6E-E946-4D79-8B84-B40AE0449FB9}"/>
    <cellStyle name="Normal 2 2 3 3 3" xfId="1339" xr:uid="{98994242-29FA-4237-9FD3-6393E280C930}"/>
    <cellStyle name="Normal 2 2 3 3 4" xfId="1103" xr:uid="{D2BEC730-BEAA-4F5F-B460-7B29AB48361E}"/>
    <cellStyle name="Normal 2 2 3 4" xfId="961" xr:uid="{491A03AB-82B4-422B-88B9-9A915CD6F0FF}"/>
    <cellStyle name="Normal 2 2 3 4 2" xfId="1403" xr:uid="{852C08CE-94B0-4E50-A4F5-0ACBDFEF0CFD}"/>
    <cellStyle name="Normal 2 2 3 4 3" xfId="1170" xr:uid="{9C3885E1-066A-4562-845E-5718110E0644}"/>
    <cellStyle name="Normal 2 2 3 5" xfId="1287" xr:uid="{76B3816F-B917-4295-8E8B-EBBEDBDFF6A2}"/>
    <cellStyle name="Normal 2 2 3 6" xfId="1050" xr:uid="{8DC77C8C-D4A5-48D2-8A41-7AB28EE08B4A}"/>
    <cellStyle name="Normal 2 2 3 7" xfId="2932" xr:uid="{FC8540CC-DEE0-4772-9465-17EE1D3A6250}"/>
    <cellStyle name="Normal 2 2 4" xfId="750" xr:uid="{D441E215-E076-49B4-AE91-D71CE69118C7}"/>
    <cellStyle name="Normal 2 2 4 2" xfId="905" xr:uid="{B4BF33B0-A35D-41DB-88A4-A40A227B8128}"/>
    <cellStyle name="Normal 2 2 4 2 2" xfId="1236" xr:uid="{FF85D3D6-7CAC-4208-AEBA-605FC2700B14}"/>
    <cellStyle name="Normal 2 2 4 2 2 2" xfId="1469" xr:uid="{94AF6012-0CEF-41C2-8823-47C2F8676E27}"/>
    <cellStyle name="Normal 2 2 4 2 3" xfId="1353" xr:uid="{F68652A5-901F-4AAF-B36B-2B435ABC6F44}"/>
    <cellStyle name="Normal 2 2 4 2 4" xfId="1117" xr:uid="{763C6FE0-4B52-4C7A-A409-5FC2C65A5ED3}"/>
    <cellStyle name="Normal 2 2 4 3" xfId="975" xr:uid="{4EFB6F37-6FD4-4E78-AF45-8E51BA63D988}"/>
    <cellStyle name="Normal 2 2 4 3 2" xfId="1387" xr:uid="{3E3AB025-2811-4579-A30B-19E844F49AC5}"/>
    <cellStyle name="Normal 2 2 4 3 3" xfId="1154" xr:uid="{049912C6-3E80-4E6B-A150-8056E204EEFB}"/>
    <cellStyle name="Normal 2 2 4 4" xfId="1271" xr:uid="{3D78D77E-9A2F-4340-999B-9F401326FC1E}"/>
    <cellStyle name="Normal 2 2 4 5" xfId="1034" xr:uid="{648A0206-8C15-4EFC-A860-CFF636B8FC17}"/>
    <cellStyle name="Normal 2 2 5" xfId="869" xr:uid="{66A3480A-78C5-453B-9F10-540DBC43B4DF}"/>
    <cellStyle name="Normal 2 2 5 2" xfId="1180" xr:uid="{9ED73892-E0E0-4EB3-8700-F0A516FF5823}"/>
    <cellStyle name="Normal 2 2 5 2 2" xfId="1413" xr:uid="{2DCDB3B5-3B99-4F1C-82C1-7DC98D0CF14D}"/>
    <cellStyle name="Normal 2 2 5 3" xfId="1297" xr:uid="{5A0D06E8-8ACC-4875-9CE9-F2268D6C6651}"/>
    <cellStyle name="Normal 2 2 5 4" xfId="1060" xr:uid="{78493F0E-4902-4231-BB33-339A7026B37C}"/>
    <cellStyle name="Normal 2 2 6" xfId="945" xr:uid="{7F6590EE-9E2B-4222-8306-2E71B8A640C0}"/>
    <cellStyle name="Normal 2 2 6 2" xfId="1206" xr:uid="{03152B51-C091-49BC-B213-1F867D9BB45F}"/>
    <cellStyle name="Normal 2 2 6 2 2" xfId="1439" xr:uid="{BD8F962C-6F0B-42C4-818A-17AEBC707021}"/>
    <cellStyle name="Normal 2 2 6 3" xfId="1323" xr:uid="{3DA4F678-1861-4B1A-A97F-1A38C0D4D346}"/>
    <cellStyle name="Normal 2 2 6 4" xfId="1087" xr:uid="{0FD44BDA-0617-474B-980A-FC4115BFCA1F}"/>
    <cellStyle name="Normal 2 2 7" xfId="1144" xr:uid="{732CB926-CA48-43D8-8ED5-1EAEEFE07A55}"/>
    <cellStyle name="Normal 2 2 7 2" xfId="1377" xr:uid="{B4B0F0D8-9DD0-4FE8-B284-B03C330BE379}"/>
    <cellStyle name="Normal 2 2 8" xfId="1261" xr:uid="{C4A2DAD3-271A-4F32-8D36-F70E6A130CDD}"/>
    <cellStyle name="Normal 2 2 9" xfId="1023" xr:uid="{5C46BC3A-8350-4893-8274-380D32A67AD3}"/>
    <cellStyle name="Normal 2 3" xfId="736" xr:uid="{5D999D92-2638-4729-98F0-A4C5158AB11A}"/>
    <cellStyle name="Normal 2 3 2" xfId="2934" xr:uid="{1A7D75E1-291F-4CDE-8EE1-651F7B003E2F}"/>
    <cellStyle name="Normal 2 3 2 2" xfId="3871" xr:uid="{F104D702-0015-454B-AB4D-2561947893F7}"/>
    <cellStyle name="Normal 2 3 3" xfId="2935" xr:uid="{B06A78EB-E210-49FE-A861-17BF58F443C5}"/>
    <cellStyle name="Normal 2 3 4" xfId="2933" xr:uid="{617EE965-CEDE-4A37-B130-C16A3786E799}"/>
    <cellStyle name="Normal 2 4" xfId="796" xr:uid="{2F3DBAA9-94D0-4A22-BC64-D62E21FD8832}"/>
    <cellStyle name="Normal 2 4 2" xfId="2936" xr:uid="{85A3D7BA-AB59-4305-BA06-2C04AB5A1B9F}"/>
    <cellStyle name="Normal 2 4 2 2" xfId="3872" xr:uid="{A1BAF81A-DBA8-4E49-A316-19B3A27D877B}"/>
    <cellStyle name="Normal 2 4 3" xfId="2937" xr:uid="{1B553412-FE2F-4A8E-9B0F-58DFF4AF380E}"/>
    <cellStyle name="Normal 2 5" xfId="622" xr:uid="{52236977-69EE-43CE-978C-781C2B31DF6B}"/>
    <cellStyle name="Normal 2 5 2" xfId="2938" xr:uid="{59E1799A-03E4-43FE-8A00-14A1C2E41008}"/>
    <cellStyle name="Normal 2 6" xfId="2939" xr:uid="{D8A20C5C-065F-45F3-A43E-68F78295B965}"/>
    <cellStyle name="Normal 2 7" xfId="2940" xr:uid="{3DF0D829-A550-4665-9E52-E50A41E01BDC}"/>
    <cellStyle name="Normal 20" xfId="623" xr:uid="{8B19251C-5490-410D-B5FC-05DDFDB381FB}"/>
    <cellStyle name="Normal 20 2" xfId="2941" xr:uid="{F623C9A5-E0DB-437F-8A9A-74053ED130C1}"/>
    <cellStyle name="Normal 20 2 2" xfId="3873" xr:uid="{F4C6D375-F160-4DF1-9E9E-75354561F516}"/>
    <cellStyle name="Normal 20 3" xfId="2942" xr:uid="{C4F9E6AD-177E-45C1-B2FC-9A8A14A9C1D0}"/>
    <cellStyle name="Normal 20 3 2" xfId="3874" xr:uid="{8F54C032-C9C0-4AA9-B70C-8BCD12179A70}"/>
    <cellStyle name="Normal 21" xfId="706" xr:uid="{73936943-F6B4-4180-94F4-96D1E1525801}"/>
    <cellStyle name="Normal 21 2" xfId="2944" xr:uid="{9A3A5ED7-642A-4520-A8E7-5670887C2AEA}"/>
    <cellStyle name="Normal 21 3" xfId="2945" xr:uid="{182685F4-349F-476B-90D6-433951DCEB01}"/>
    <cellStyle name="Normal 21 3 2" xfId="3875" xr:uid="{7C9C0916-C569-4B35-98C3-68B76E96EC55}"/>
    <cellStyle name="Normal 21 4" xfId="2943" xr:uid="{D3BA766E-4167-4EAD-AF3E-E2B30D1E4801}"/>
    <cellStyle name="Normal 22" xfId="732" xr:uid="{ECE93BD4-AAB9-4E01-9BC8-E553EAD11CA6}"/>
    <cellStyle name="Normal 22 2" xfId="740" xr:uid="{2C19312B-F0BD-48A8-AD4A-DCE66515DB63}"/>
    <cellStyle name="Normal 22 2 2" xfId="2947" xr:uid="{182E911F-68EB-486B-AA18-43BCC4F31222}"/>
    <cellStyle name="Normal 22 3" xfId="891" xr:uid="{848E9D7F-F877-40AE-A485-C2398A2606A8}"/>
    <cellStyle name="Normal 22 3 2" xfId="1458" xr:uid="{C37F1FC4-C87A-445C-AFAF-EEEC874C963F}"/>
    <cellStyle name="Normal 22 3 3" xfId="1225" xr:uid="{BBAB6D9F-8302-4C91-B202-8DB48F373F08}"/>
    <cellStyle name="Normal 22 3 4" xfId="3876" xr:uid="{220B0F6E-9B4A-471B-9DFC-E54F36AD89E4}"/>
    <cellStyle name="Normal 22 4" xfId="964" xr:uid="{E8690419-9D5D-45F4-AA2F-45398A042D5B}"/>
    <cellStyle name="Normal 22 4 2" xfId="1342" xr:uid="{557109F6-5A9B-47CC-AC61-D1B850FF4E70}"/>
    <cellStyle name="Normal 22 5" xfId="1106" xr:uid="{8760330B-4CB1-4B35-A979-FFC0CB19D8CB}"/>
    <cellStyle name="Normal 22 6" xfId="2946" xr:uid="{8DA13F99-3533-4800-8076-CFD7FD7F89BF}"/>
    <cellStyle name="Normal 23" xfId="737" xr:uid="{D262FC73-2B79-43E0-A9A3-3B4A1830FC31}"/>
    <cellStyle name="Normal 23 2" xfId="894" xr:uid="{29E72DC0-12C2-4E8E-8A71-1B9C79159BF4}"/>
    <cellStyle name="Normal 23 2 2" xfId="1459" xr:uid="{29B7CA17-14DB-4D2A-84CD-C618F9CB2038}"/>
    <cellStyle name="Normal 23 2 3" xfId="1226" xr:uid="{065EE220-D577-49E6-BE90-5A71E2BF8A48}"/>
    <cellStyle name="Normal 23 2 4" xfId="2949" xr:uid="{A720B97E-4577-4A89-A042-141D7C209AFF}"/>
    <cellStyle name="Normal 23 3" xfId="965" xr:uid="{B39082DB-010D-4A23-8DE1-FBA352901F86}"/>
    <cellStyle name="Normal 23 3 2" xfId="1343" xr:uid="{B0E63C77-E165-4CE6-876C-E9C1E79155CD}"/>
    <cellStyle name="Normal 23 4" xfId="1107" xr:uid="{ACA2EA91-9CEE-4C60-A69A-050B08813299}"/>
    <cellStyle name="Normal 23 5" xfId="2948" xr:uid="{C13568F5-39CF-49AC-8B09-DB1AE2F4E71D}"/>
    <cellStyle name="Normal 24" xfId="924" xr:uid="{31235064-FEE9-42F1-A8CD-4379E59DAE0B}"/>
    <cellStyle name="Normal 24 2" xfId="1138" xr:uid="{D501E2FD-CD72-4412-88EE-8F087D437134}"/>
    <cellStyle name="Normal 24 2 2" xfId="2950" xr:uid="{99B67581-76AF-4312-AE57-5A4DD0E75FB6}"/>
    <cellStyle name="Normal 25" xfId="935" xr:uid="{139ABBEC-6429-4E74-9965-C58CC1601E8E}"/>
    <cellStyle name="Normal 25 2" xfId="1374" xr:uid="{A53E9708-A192-44B2-8E94-ABB8A267ED5C}"/>
    <cellStyle name="Normal 25 2 2" xfId="2952" xr:uid="{227BDFBA-84AF-40A2-8D92-C2719D11239B}"/>
    <cellStyle name="Normal 25 3" xfId="1137" xr:uid="{15A61BF5-5478-48F7-B307-4B6226F7FDED}"/>
    <cellStyle name="Normal 25 4" xfId="2951" xr:uid="{6A15EFF5-527A-4027-957C-E722EF84E376}"/>
    <cellStyle name="Normal 26" xfId="925" xr:uid="{8F86AA81-1B5B-4B8B-B2BD-5B9D903B78F6}"/>
    <cellStyle name="Normal 26 2" xfId="1256" xr:uid="{4B7D146E-FD15-47E7-BE08-3499F7960DD7}"/>
    <cellStyle name="Normal 26 2 2" xfId="2954" xr:uid="{3157480E-D3E8-42AC-BBFF-793135DE6141}"/>
    <cellStyle name="Normal 26 3" xfId="2953" xr:uid="{DCD5A23A-04FD-4B26-80F1-5615DAA0D5B3}"/>
    <cellStyle name="Normal 27" xfId="931" xr:uid="{84BFC054-4661-4393-B984-77DB8F0E82AF}"/>
    <cellStyle name="Normal 28" xfId="936" xr:uid="{C800E3AB-A60F-47CA-9833-7A49F9B65DCA}"/>
    <cellStyle name="Normal 28 2" xfId="2955" xr:uid="{0438EF6B-6C6D-4EE8-8CFC-AF3887E96C2A}"/>
    <cellStyle name="Normal 29" xfId="1006" xr:uid="{44E895C8-637A-4FCB-BE03-C15F1784E928}"/>
    <cellStyle name="Normal 29 2" xfId="2956" xr:uid="{A8A289E2-9A4E-4B18-890C-2F2ED0A2F129}"/>
    <cellStyle name="Normal 3" xfId="11" xr:uid="{00000000-0005-0000-0000-00004C000000}"/>
    <cellStyle name="Normal 3 10" xfId="2957" xr:uid="{B9F9DDD3-2876-4E08-B180-61C3D334A73B}"/>
    <cellStyle name="Normal 3 11" xfId="2958" xr:uid="{EA06A489-8BFE-4EF0-88EC-ADE1E3264FCC}"/>
    <cellStyle name="Normal 3 11 2" xfId="3877" xr:uid="{46AC63E2-8669-468B-AFF9-E2506138408E}"/>
    <cellStyle name="Normal 3 12" xfId="2959" xr:uid="{7BEA0764-42BA-46BA-853F-2BC7D9743081}"/>
    <cellStyle name="Normal 3 2" xfId="707" xr:uid="{D65206B1-1563-4F4F-BEFA-71E190E67CD7}"/>
    <cellStyle name="Normal 3 2 2" xfId="2961" xr:uid="{FF312561-E36A-4F8D-A2CB-1442A1A0A396}"/>
    <cellStyle name="Normal 3 2 3" xfId="2960" xr:uid="{97435F47-4CC4-4D6E-A966-AF36AF91246D}"/>
    <cellStyle name="Normal 3 3" xfId="708" xr:uid="{9864E9AE-E37B-4FF2-A146-6D85B6CDD8FE}"/>
    <cellStyle name="Normal 3 3 2" xfId="701" xr:uid="{1D66177E-6151-41F7-B2EE-7C5EDFE1CB71}"/>
    <cellStyle name="Normal 3 3 3" xfId="2962" xr:uid="{F900492C-06AA-4515-B20A-3E5764F0F7F0}"/>
    <cellStyle name="Normal 3 4" xfId="733" xr:uid="{A7A7F0F3-8B89-4D5B-99DB-883CFA1B0AB8}"/>
    <cellStyle name="Normal 3 4 2" xfId="892" xr:uid="{DE4A5A07-29E1-4A94-BFB4-D1D13D27A01E}"/>
    <cellStyle name="Normal 3 4 2 2" xfId="2965" xr:uid="{2382F087-855C-4EFA-8B9F-091F21FEA8EB}"/>
    <cellStyle name="Normal 3 4 2 2 2" xfId="2966" xr:uid="{FC519EB8-C49F-44C3-99D4-767AEBDD68DA}"/>
    <cellStyle name="Normal 3 4 2 2 2 2" xfId="3880" xr:uid="{1427DC1E-F65F-4443-B193-31B5EBDB78F2}"/>
    <cellStyle name="Normal 3 4 2 2 3" xfId="2967" xr:uid="{544545A1-3F7D-4610-AB64-7FA1AF8BA21C}"/>
    <cellStyle name="Normal 3 4 2 2 3 2" xfId="3881" xr:uid="{2A5EE557-DED0-4570-B421-99FA40D04E97}"/>
    <cellStyle name="Normal 3 4 2 2 4" xfId="3879" xr:uid="{9C837204-5DB3-459A-A9B0-DE22D6AA78AF}"/>
    <cellStyle name="Normal 3 4 2 3" xfId="2968" xr:uid="{BB8AD0F2-0412-4338-92F2-94D309B5B866}"/>
    <cellStyle name="Normal 3 4 2 3 2" xfId="3882" xr:uid="{8DE02D08-7F13-44FC-91E1-641E2F38FFA7}"/>
    <cellStyle name="Normal 3 4 2 4" xfId="2969" xr:uid="{34397C1D-8D6B-4B69-A210-E95C20B18C43}"/>
    <cellStyle name="Normal 3 4 2 4 2" xfId="3883" xr:uid="{3A4268FC-7943-415D-8F24-7C276F15CEA9}"/>
    <cellStyle name="Normal 3 4 2 5" xfId="3878" xr:uid="{A46539F7-06F4-4E36-BC49-C320D411C8FC}"/>
    <cellStyle name="Normal 3 4 2 6" xfId="2964" xr:uid="{77113213-A7A6-4B9F-A9CC-CCF3524BC48E}"/>
    <cellStyle name="Normal 3 4 3" xfId="2970" xr:uid="{A1364ED9-072E-449A-8AFB-961AE6F84608}"/>
    <cellStyle name="Normal 3 4 3 2" xfId="2971" xr:uid="{9D7FB648-184D-4564-BF3E-0AB0D751334A}"/>
    <cellStyle name="Normal 3 4 3 2 2" xfId="3885" xr:uid="{60BDD1CC-7B8B-43BD-A9C0-9D31FDBB1418}"/>
    <cellStyle name="Normal 3 4 3 3" xfId="2972" xr:uid="{E050D066-D420-4114-B1A1-52E8F2D064C1}"/>
    <cellStyle name="Normal 3 4 3 3 2" xfId="3886" xr:uid="{F6A1E6FD-3D1F-4613-80BA-37B3CD124139}"/>
    <cellStyle name="Normal 3 4 3 4" xfId="3884" xr:uid="{B0AA1D6F-F458-43B5-B4AC-26FD41C444AA}"/>
    <cellStyle name="Normal 3 4 4" xfId="2973" xr:uid="{CC5763E8-E367-47BC-89C5-CF88B0F95FF5}"/>
    <cellStyle name="Normal 3 4 4 2" xfId="3887" xr:uid="{93C456B3-EAC0-463F-9CCB-2F1CFD811D0E}"/>
    <cellStyle name="Normal 3 4 5" xfId="2974" xr:uid="{DB108397-CDB5-47AD-B20D-729A13687015}"/>
    <cellStyle name="Normal 3 4 5 2" xfId="3888" xr:uid="{4DBBB63B-1E33-454D-BFFC-6802DA8E6DFD}"/>
    <cellStyle name="Normal 3 4 6" xfId="2963" xr:uid="{60CBC12A-BFE5-4AFF-8826-50A0AEA2A267}"/>
    <cellStyle name="Normal 3 5" xfId="799" xr:uid="{D84FD27D-4F8D-4E1F-872A-4A3BD1D16E5B}"/>
    <cellStyle name="Normal 3 5 2" xfId="2976" xr:uid="{F0274BBF-4477-4F46-8ACD-6AFE43473E77}"/>
    <cellStyle name="Normal 3 5 2 2" xfId="2977" xr:uid="{E2E9ED1C-5218-40FC-96B3-E98106E84019}"/>
    <cellStyle name="Normal 3 5 2 2 2" xfId="3890" xr:uid="{B16B95FE-241F-4155-BDF0-AA54E15B0D36}"/>
    <cellStyle name="Normal 3 5 2 3" xfId="2978" xr:uid="{6C5D23D2-665A-4512-A36C-5B82855E8478}"/>
    <cellStyle name="Normal 3 5 2 3 2" xfId="3891" xr:uid="{65D4074D-D67F-464E-AB9A-84A726573C69}"/>
    <cellStyle name="Normal 3 5 2 4" xfId="3889" xr:uid="{E8945A01-CF88-4113-AE9C-8451B6BDA2B3}"/>
    <cellStyle name="Normal 3 5 3" xfId="2979" xr:uid="{D29D03E6-9674-4D19-963D-4989A2018E09}"/>
    <cellStyle name="Normal 3 5 3 2" xfId="2980" xr:uid="{804FABDC-E229-406F-8649-E0BA5E007058}"/>
    <cellStyle name="Normal 3 5 3 2 2" xfId="3893" xr:uid="{F7D5A299-36CC-48E4-B03A-35431451F8BF}"/>
    <cellStyle name="Normal 3 5 3 3" xfId="2981" xr:uid="{86A8AF54-11CF-4799-81C6-BBEDE215CC84}"/>
    <cellStyle name="Normal 3 5 3 3 2" xfId="3894" xr:uid="{13C395F5-5741-46DB-A769-39FD3BE78F31}"/>
    <cellStyle name="Normal 3 5 3 4" xfId="3892" xr:uid="{6ED6621A-90E9-4AE1-BCA8-7F78A5728859}"/>
    <cellStyle name="Normal 3 5 4" xfId="2982" xr:uid="{16752027-25B0-4260-9B7C-0CFCA8ACD898}"/>
    <cellStyle name="Normal 3 5 4 2" xfId="3895" xr:uid="{E3FFFC6C-7C65-4793-9C7D-54BBBD4A775C}"/>
    <cellStyle name="Normal 3 5 5" xfId="2983" xr:uid="{5D218352-99C4-4BB1-9E0B-EC9B46BDDB5E}"/>
    <cellStyle name="Normal 3 5 5 2" xfId="3896" xr:uid="{3D46CB53-A93D-4AA9-B915-FAE3C84B739D}"/>
    <cellStyle name="Normal 3 5 6" xfId="2975" xr:uid="{0156248E-67F5-4F2D-A4AB-C0ECC740BAE4}"/>
    <cellStyle name="Normal 3 6" xfId="999" xr:uid="{8202992F-BAF8-44F3-8D2C-7901D2C69288}"/>
    <cellStyle name="Normal 3 6 2" xfId="2985" xr:uid="{2EE9523D-7CF4-4AF6-9EDD-A880B3546D8B}"/>
    <cellStyle name="Normal 3 6 2 2" xfId="2986" xr:uid="{678382AE-45D5-4D72-9458-4ECC03C70DEA}"/>
    <cellStyle name="Normal 3 6 2 2 2" xfId="3898" xr:uid="{5A791AE1-1B76-4033-9517-BC8F8AB0C741}"/>
    <cellStyle name="Normal 3 6 2 3" xfId="2987" xr:uid="{6733B857-8C11-4E5E-979A-9FB2CEEBF15A}"/>
    <cellStyle name="Normal 3 6 2 3 2" xfId="3899" xr:uid="{3A2E6483-2464-494C-8FED-8877B40137E0}"/>
    <cellStyle name="Normal 3 6 2 4" xfId="3897" xr:uid="{FE46ED41-D27B-4325-B612-6F8BC7CCF81D}"/>
    <cellStyle name="Normal 3 6 3" xfId="2988" xr:uid="{EC26B933-21ED-4E65-9F92-A285BB4EA648}"/>
    <cellStyle name="Normal 3 6 3 2" xfId="3900" xr:uid="{61743521-DA79-4FC9-B292-61B658D437CF}"/>
    <cellStyle name="Normal 3 6 4" xfId="2989" xr:uid="{A6DCCA21-763E-4B50-8E7E-AE928647672D}"/>
    <cellStyle name="Normal 3 6 4 2" xfId="3901" xr:uid="{61E81F77-657E-4B05-9AE9-BA2629D1CC2B}"/>
    <cellStyle name="Normal 3 6 5" xfId="2984" xr:uid="{ED5D072A-93AE-4E23-BB2F-52AE9A1236A9}"/>
    <cellStyle name="Normal 3 7" xfId="624" xr:uid="{CCA486E0-110F-48D0-96E3-E1B5723E5A1E}"/>
    <cellStyle name="Normal 3 7 2" xfId="2991" xr:uid="{1744F8BB-F7F2-4FE6-AF21-938FF516451B}"/>
    <cellStyle name="Normal 3 7 2 2" xfId="3902" xr:uid="{77DC385B-0C86-4D38-8AE5-1C600C3035CE}"/>
    <cellStyle name="Normal 3 7 3" xfId="2992" xr:uid="{4E974199-D349-4DE7-A83B-2C12FFE3084A}"/>
    <cellStyle name="Normal 3 7 3 2" xfId="3903" xr:uid="{526A0C91-F6B1-4E6C-9DEA-0C2AAF8284B0}"/>
    <cellStyle name="Normal 3 7 4" xfId="2990" xr:uid="{AA4DBAD4-27FE-4754-BF05-320AFA55F670}"/>
    <cellStyle name="Normal 3 8" xfId="2993" xr:uid="{AA5DCCC9-248D-4C8A-A0F9-0A03F4254533}"/>
    <cellStyle name="Normal 3 8 2" xfId="3904" xr:uid="{B1BC761A-274C-4D5B-95D1-18FF097F98E4}"/>
    <cellStyle name="Normal 3 9" xfId="2994" xr:uid="{58C7B109-CEEF-4F52-A463-7807B2183C6F}"/>
    <cellStyle name="Normal 3 9 2" xfId="3905" xr:uid="{0BF8D0C7-745A-460A-A2FB-39E6AFBB70FD}"/>
    <cellStyle name="Normal 30" xfId="1002" xr:uid="{D71AAE61-B41E-4E2E-8C79-22AC7024A045}"/>
    <cellStyle name="Normal 30 2" xfId="2996" xr:uid="{9E5C9B54-804F-4698-8D97-F1FF94316F05}"/>
    <cellStyle name="Normal 30 2 2" xfId="3906" xr:uid="{4F1A028E-FC2F-4402-B99C-676FC0F74CAC}"/>
    <cellStyle name="Normal 30 3" xfId="2995" xr:uid="{ABBF626B-AEAA-40CC-97DF-7614E5682B43}"/>
    <cellStyle name="Normal 31" xfId="1489" xr:uid="{DDBCD9E8-0303-4EEC-9B9E-5EFF33963772}"/>
    <cellStyle name="Normal 31 2" xfId="2997" xr:uid="{919FA7A3-42FB-49B1-8233-FD6EE6E22CC3}"/>
    <cellStyle name="Normal 32" xfId="1000" xr:uid="{C56C40F9-D546-4507-B411-55FF0568CD46}"/>
    <cellStyle name="Normal 33" xfId="1004" xr:uid="{27E7B7E6-176C-4087-A1AF-4428A5A31B76}"/>
    <cellStyle name="Normal 34" xfId="1014" xr:uid="{D5BF7374-D31F-4352-B495-27C26D6F44DF}"/>
    <cellStyle name="Normal 35" xfId="1498" xr:uid="{64B2E403-9017-4256-8729-C5DC6166F9E7}"/>
    <cellStyle name="Normal 36" xfId="1500" xr:uid="{36AD661F-D9FA-431A-B1C6-8F3411C2B1FB}"/>
    <cellStyle name="Normal 37" xfId="1502" xr:uid="{0CDBD015-684B-4EA7-BC9C-7C9A9885E122}"/>
    <cellStyle name="Normal 38" xfId="1504" xr:uid="{A30F1ED4-9DAE-4847-AC49-35B7B94C492E}"/>
    <cellStyle name="Normal 39" xfId="1506" xr:uid="{96FFF111-080E-4963-B1EE-62224FE61868}"/>
    <cellStyle name="Normal 4" xfId="76" xr:uid="{00000000-0005-0000-0000-00004D000000}"/>
    <cellStyle name="Normal 4 10" xfId="2998" xr:uid="{D0F55B1A-5315-4B42-97EB-D739805BE25C}"/>
    <cellStyle name="Normal 4 11" xfId="2999" xr:uid="{8B4F6A75-C62A-4845-9D7E-57035D12D16D}"/>
    <cellStyle name="Normal 4 11 2" xfId="3907" xr:uid="{60D502F9-4D17-4553-80EB-AA42A01C3099}"/>
    <cellStyle name="Normal 4 12" xfId="3000" xr:uid="{DEB11B25-EF68-4D21-ACB0-1A7A9D87FEFA}"/>
    <cellStyle name="Normal 4 2" xfId="709" xr:uid="{81E4A1C3-85D5-4122-8A76-9BB54D819642}"/>
    <cellStyle name="Normal 4 2 2" xfId="3002" xr:uid="{D1B6E5DE-91C2-4DEA-8557-8C251970EB5B}"/>
    <cellStyle name="Normal 4 2 3" xfId="3001" xr:uid="{F0E5BE94-A258-4076-923F-E94E4F418FD5}"/>
    <cellStyle name="Normal 4 3" xfId="838" xr:uid="{F8577DCA-F3CC-455B-9CE2-FD746A551677}"/>
    <cellStyle name="Normal 4 3 2" xfId="3004" xr:uid="{39DF79C7-C763-4688-802C-3FFE692123B1}"/>
    <cellStyle name="Normal 4 3 2 2" xfId="3005" xr:uid="{05AA6C0C-1809-4FED-8517-49B30AB70965}"/>
    <cellStyle name="Normal 4 3 2 2 2" xfId="3006" xr:uid="{44B700BB-F3E5-4C4E-8E14-FD573C5E8AB4}"/>
    <cellStyle name="Normal 4 3 2 2 2 2" xfId="3007" xr:uid="{B3B534B1-E91F-47C6-81DA-10D8B53C232C}"/>
    <cellStyle name="Normal 4 3 2 2 2 2 2" xfId="3910" xr:uid="{6AE28596-E628-42A4-9502-31547039FAE3}"/>
    <cellStyle name="Normal 4 3 2 2 2 3" xfId="3008" xr:uid="{5A0B35FE-8908-4BE8-9963-387ECA952005}"/>
    <cellStyle name="Normal 4 3 2 2 2 3 2" xfId="3911" xr:uid="{771C98B8-01AE-4FAA-81E4-C696928C3AD4}"/>
    <cellStyle name="Normal 4 3 2 2 2 4" xfId="3909" xr:uid="{A3E8886A-C907-4F90-929C-1A42CFDCF0B5}"/>
    <cellStyle name="Normal 4 3 2 2 3" xfId="3009" xr:uid="{A307DA9D-7A50-471C-B472-9D2F023C0F47}"/>
    <cellStyle name="Normal 4 3 2 2 3 2" xfId="3912" xr:uid="{9CF3CCC1-E741-4818-A2D8-2CF26FDD3970}"/>
    <cellStyle name="Normal 4 3 2 2 4" xfId="3010" xr:uid="{FA5A7E5C-7542-421F-9388-20A6751486F6}"/>
    <cellStyle name="Normal 4 3 2 2 4 2" xfId="3913" xr:uid="{81AFB29B-44F3-47F5-AACC-A19A36A3FA4C}"/>
    <cellStyle name="Normal 4 3 2 2 5" xfId="3908" xr:uid="{CF5A297D-3724-421C-8DE1-E4B654ADC832}"/>
    <cellStyle name="Normal 4 3 2 3" xfId="3011" xr:uid="{B7A4760B-5D7B-4AE3-9F00-7801B425587C}"/>
    <cellStyle name="Normal 4 3 2 3 2" xfId="3012" xr:uid="{BDF739CF-D91C-4222-BFA8-2D2FCD36AA65}"/>
    <cellStyle name="Normal 4 3 2 3 2 2" xfId="3915" xr:uid="{4B812679-F700-4F4D-BA6D-01B8B82E4C6A}"/>
    <cellStyle name="Normal 4 3 2 3 3" xfId="3013" xr:uid="{7BBA6ED7-B9DC-446B-BAF9-EF0C9B66C095}"/>
    <cellStyle name="Normal 4 3 2 3 3 2" xfId="3916" xr:uid="{12B9440A-060D-4FCB-8783-5BBBE48022C5}"/>
    <cellStyle name="Normal 4 3 2 3 4" xfId="3914" xr:uid="{6605593B-9587-4205-91A3-066526CF9A17}"/>
    <cellStyle name="Normal 4 3 2 4" xfId="3014" xr:uid="{8CB346E3-70A4-4DBC-9711-A1D32731DF9C}"/>
    <cellStyle name="Normal 4 3 2 4 2" xfId="3917" xr:uid="{BFD476CA-E8C3-4E40-A646-694CB9B85874}"/>
    <cellStyle name="Normal 4 3 2 5" xfId="3015" xr:uid="{79FF85A4-1CDD-4623-883E-BDA8E70DF8B8}"/>
    <cellStyle name="Normal 4 3 2 5 2" xfId="3918" xr:uid="{6EAD9839-A54B-4DAE-9D4B-242D7894F846}"/>
    <cellStyle name="Normal 4 3 3" xfId="3016" xr:uid="{BFD74F4C-295D-4F37-8AAF-47C7092C8AA8}"/>
    <cellStyle name="Normal 4 3 3 2" xfId="3017" xr:uid="{7662BDE3-6BC2-4A44-9679-A6C2104DAC3E}"/>
    <cellStyle name="Normal 4 3 3 2 2" xfId="3018" xr:uid="{DBF8113F-26ED-45FF-A738-A65D40BDCC67}"/>
    <cellStyle name="Normal 4 3 3 2 2 2" xfId="3920" xr:uid="{A6F02A9D-950D-4CC9-AE13-4F702CCFA355}"/>
    <cellStyle name="Normal 4 3 3 2 3" xfId="3019" xr:uid="{3D6CF905-7F4D-4B19-BCAB-3617ED357CB8}"/>
    <cellStyle name="Normal 4 3 3 2 3 2" xfId="3921" xr:uid="{C176375A-5649-4B0A-BFC1-55D83ADA4791}"/>
    <cellStyle name="Normal 4 3 3 2 4" xfId="3919" xr:uid="{C3E9E9D6-8CA8-4B62-A5DA-39EEC844B49B}"/>
    <cellStyle name="Normal 4 3 3 3" xfId="3020" xr:uid="{517CB6C5-B9A2-4EBD-B9F2-2032171B6761}"/>
    <cellStyle name="Normal 4 3 3 3 2" xfId="3021" xr:uid="{218642C4-05BB-4001-A018-64599AF9F918}"/>
    <cellStyle name="Normal 4 3 3 3 2 2" xfId="3923" xr:uid="{A0E3C7B9-7621-476D-BA58-551CF493A5FE}"/>
    <cellStyle name="Normal 4 3 3 3 3" xfId="3022" xr:uid="{0C12ED22-1A3F-4715-B767-41C1AA121084}"/>
    <cellStyle name="Normal 4 3 3 3 3 2" xfId="3924" xr:uid="{D67300CE-9825-4F8C-9384-B3A18E76BC76}"/>
    <cellStyle name="Normal 4 3 3 3 4" xfId="3922" xr:uid="{BE49A2A5-1C7A-48DC-B0E7-FFB05BCCAC9F}"/>
    <cellStyle name="Normal 4 3 3 4" xfId="3023" xr:uid="{57D7F348-7386-458C-A193-27EFA1C67BD8}"/>
    <cellStyle name="Normal 4 3 3 4 2" xfId="3925" xr:uid="{4B97007C-6740-4BD3-B452-420C43F5FD7D}"/>
    <cellStyle name="Normal 4 3 3 5" xfId="3024" xr:uid="{4926D21E-BBD6-4459-97C2-F4F73B6A1080}"/>
    <cellStyle name="Normal 4 3 3 5 2" xfId="3926" xr:uid="{2F7C07CA-A350-43E0-B3B0-B8A0F84D50FB}"/>
    <cellStyle name="Normal 4 3 4" xfId="3025" xr:uid="{A3C78867-8FAD-4511-8895-8FCA41E83CC9}"/>
    <cellStyle name="Normal 4 3 4 2" xfId="3026" xr:uid="{80A1FF8A-72A1-43BC-BEF3-4EC98EF9C34A}"/>
    <cellStyle name="Normal 4 3 4 2 2" xfId="3027" xr:uid="{AFF5C67F-5B7F-4C65-A84C-E0B62397335F}"/>
    <cellStyle name="Normal 4 3 4 2 2 2" xfId="3929" xr:uid="{428955D8-A53C-41BE-82B0-A0A05D9CB238}"/>
    <cellStyle name="Normal 4 3 4 2 3" xfId="3028" xr:uid="{02DBB9FF-39AB-42A7-AA2C-7CC3A2673DB8}"/>
    <cellStyle name="Normal 4 3 4 2 3 2" xfId="3930" xr:uid="{8DCC1C71-1586-49D0-AC9D-4EDAEFF2D9B6}"/>
    <cellStyle name="Normal 4 3 4 2 4" xfId="3928" xr:uid="{9A6B39A8-5891-4D2F-BB8D-54CC7BE46090}"/>
    <cellStyle name="Normal 4 3 4 3" xfId="3029" xr:uid="{97B23EBD-370C-4E3C-BA0B-51A854DA38ED}"/>
    <cellStyle name="Normal 4 3 4 3 2" xfId="3931" xr:uid="{554707FF-84D6-4C2E-988F-B27CB3BC0D58}"/>
    <cellStyle name="Normal 4 3 4 4" xfId="3030" xr:uid="{DF072D55-88B6-4F09-BA76-E06E72154F26}"/>
    <cellStyle name="Normal 4 3 4 4 2" xfId="3932" xr:uid="{70DBB842-4F76-4709-A584-E6139095A4D2}"/>
    <cellStyle name="Normal 4 3 4 5" xfId="3927" xr:uid="{BADF0900-6074-4F99-9341-3DC923D26DDB}"/>
    <cellStyle name="Normal 4 3 5" xfId="3031" xr:uid="{07E7B813-3207-48DE-B216-9751E61D5D9C}"/>
    <cellStyle name="Normal 4 3 5 2" xfId="3032" xr:uid="{3655A706-99CF-4276-893E-B38F0D396BEF}"/>
    <cellStyle name="Normal 4 3 5 2 2" xfId="3934" xr:uid="{E9FCBB3E-A2CF-4233-99F8-61484B53DDF0}"/>
    <cellStyle name="Normal 4 3 5 3" xfId="3033" xr:uid="{BDC3CA99-A0F4-4C2B-8122-7BF5FA4E5088}"/>
    <cellStyle name="Normal 4 3 5 3 2" xfId="3935" xr:uid="{6E249537-F705-4C2E-B521-6884F52E9531}"/>
    <cellStyle name="Normal 4 3 5 4" xfId="3933" xr:uid="{D1D0ED8E-DDBC-4320-B63D-DC9BFD817D46}"/>
    <cellStyle name="Normal 4 3 6" xfId="3034" xr:uid="{EFE448CA-27AF-43CF-A059-476CE5851CC5}"/>
    <cellStyle name="Normal 4 3 6 2" xfId="3936" xr:uid="{AB81152D-C215-4EA8-A1D8-F02988EA121F}"/>
    <cellStyle name="Normal 4 3 7" xfId="3035" xr:uid="{08C972B5-BA6B-48A6-B990-1C205013983C}"/>
    <cellStyle name="Normal 4 3 7 2" xfId="3937" xr:uid="{2282B0A3-1601-46C2-AC45-D7C9BA0F1E89}"/>
    <cellStyle name="Normal 4 3 8" xfId="3036" xr:uid="{01F46AB8-5D73-44B7-9819-F7D3806DF01F}"/>
    <cellStyle name="Normal 4 3 8 2" xfId="3938" xr:uid="{33343680-66E0-46BA-AD44-0AC805E30F2A}"/>
    <cellStyle name="Normal 4 3 9" xfId="3003" xr:uid="{17BBF65E-3104-4D91-BE38-56F298805A3B}"/>
    <cellStyle name="Normal 4 4" xfId="625" xr:uid="{8D21A86B-11FF-4EC6-BA39-8F59D63C9E59}"/>
    <cellStyle name="Normal 4 4 2" xfId="3038" xr:uid="{707A1B85-3EF2-4974-8D09-47AFF4E5DF12}"/>
    <cellStyle name="Normal 4 4 2 2" xfId="3039" xr:uid="{F6E95992-440D-4C8E-B069-E99661F076F0}"/>
    <cellStyle name="Normal 4 4 2 2 2" xfId="3040" xr:uid="{3111F41B-67BB-4E95-B7C4-5EC5ED973E6E}"/>
    <cellStyle name="Normal 4 4 2 2 2 2" xfId="3941" xr:uid="{E53382F2-0F86-469E-937C-ACE91FE3117E}"/>
    <cellStyle name="Normal 4 4 2 2 3" xfId="3041" xr:uid="{9ABAC317-5703-4778-9106-79894B0B8F23}"/>
    <cellStyle name="Normal 4 4 2 2 3 2" xfId="3942" xr:uid="{341C2BCF-0CB9-477C-8D69-648F46A33AB1}"/>
    <cellStyle name="Normal 4 4 2 2 4" xfId="3940" xr:uid="{ED28EC8B-B8BF-4D19-B928-A87433E07112}"/>
    <cellStyle name="Normal 4 4 2 3" xfId="3042" xr:uid="{EF31907C-5293-47C0-B64A-8D0923E6254C}"/>
    <cellStyle name="Normal 4 4 2 3 2" xfId="3943" xr:uid="{59DFBDEE-7486-4225-933B-C61CC5D7A126}"/>
    <cellStyle name="Normal 4 4 2 4" xfId="3043" xr:uid="{67CBDF9F-DD72-4E82-AC54-26C1FF77EEF1}"/>
    <cellStyle name="Normal 4 4 2 4 2" xfId="3944" xr:uid="{99B68FE6-6855-4E68-9B41-ED1E7201A556}"/>
    <cellStyle name="Normal 4 4 2 5" xfId="3939" xr:uid="{129A819C-B61D-4B7A-8AAB-EB13C3319807}"/>
    <cellStyle name="Normal 4 4 3" xfId="3044" xr:uid="{0E3C6D3F-3C32-4C77-AEF7-AD60AC38A10C}"/>
    <cellStyle name="Normal 4 4 3 2" xfId="3045" xr:uid="{7E874FF8-627C-4955-815B-EAE3D6508A25}"/>
    <cellStyle name="Normal 4 4 3 2 2" xfId="3946" xr:uid="{6EE09E64-6C85-40C3-B242-1C212D6DAD78}"/>
    <cellStyle name="Normal 4 4 3 3" xfId="3046" xr:uid="{C1077F86-4AC7-4123-B1C6-FE42D6D447BA}"/>
    <cellStyle name="Normal 4 4 3 3 2" xfId="3947" xr:uid="{A4BA03C4-03B5-4CE1-A9C2-6F3D1D55D3FF}"/>
    <cellStyle name="Normal 4 4 3 4" xfId="3945" xr:uid="{3E848D20-F3DB-4117-B10F-093EC166D953}"/>
    <cellStyle name="Normal 4 4 4" xfId="3047" xr:uid="{50B779E7-F7E6-40DB-AED1-EECDC92385F8}"/>
    <cellStyle name="Normal 4 4 4 2" xfId="3948" xr:uid="{89A0D1E1-FEF2-41E5-88DA-4ABC3A4FAE1D}"/>
    <cellStyle name="Normal 4 4 5" xfId="3048" xr:uid="{149E7E6E-54D3-47C9-BFCE-11CA49C12390}"/>
    <cellStyle name="Normal 4 4 5 2" xfId="3949" xr:uid="{78CEF0A5-860B-4636-9F7E-C9CEB860C1F2}"/>
    <cellStyle name="Normal 4 4 6" xfId="3037" xr:uid="{FBFCA9F4-D7C5-473B-A175-09A420A83719}"/>
    <cellStyle name="Normal 4 5" xfId="3049" xr:uid="{1C619EC8-7DD6-4397-B961-242F9F8C0EB5}"/>
    <cellStyle name="Normal 4 5 2" xfId="3050" xr:uid="{93BCF1F3-C555-4A07-A2BC-8A65BAB46B27}"/>
    <cellStyle name="Normal 4 5 2 2" xfId="3051" xr:uid="{376DF5AF-C135-45E6-B907-58C1F0CAE261}"/>
    <cellStyle name="Normal 4 5 2 2 2" xfId="3951" xr:uid="{DB3BFB1D-7EAA-4F8A-AE07-9EA3E3352819}"/>
    <cellStyle name="Normal 4 5 2 3" xfId="3052" xr:uid="{9435A6B3-E9F5-47EC-8C53-2ADE6B82AADF}"/>
    <cellStyle name="Normal 4 5 2 3 2" xfId="3952" xr:uid="{DD09B0DB-69E2-444D-865B-6771E5654289}"/>
    <cellStyle name="Normal 4 5 2 4" xfId="3950" xr:uid="{5D86C86C-6EA1-4568-AC0D-F5CA5BF6454E}"/>
    <cellStyle name="Normal 4 5 3" xfId="3053" xr:uid="{95D86151-7205-474C-9BA9-5E1C135A121F}"/>
    <cellStyle name="Normal 4 5 3 2" xfId="3054" xr:uid="{14321E35-588A-4129-A93B-EA7CCF588942}"/>
    <cellStyle name="Normal 4 5 3 2 2" xfId="3954" xr:uid="{D97D85D1-ECB6-464B-81E1-415DF458685B}"/>
    <cellStyle name="Normal 4 5 3 3" xfId="3055" xr:uid="{0A38BDE4-623D-436D-9A6F-59B2295DDA04}"/>
    <cellStyle name="Normal 4 5 3 3 2" xfId="3955" xr:uid="{2A14E90D-5EAD-423E-8A6F-71DBE99193EA}"/>
    <cellStyle name="Normal 4 5 3 4" xfId="3953" xr:uid="{DCB52F2F-F1D3-4F3C-A93B-007005FFE9D3}"/>
    <cellStyle name="Normal 4 5 4" xfId="3056" xr:uid="{F6568B26-DCB0-4E6A-BE0B-20A4E4219BE3}"/>
    <cellStyle name="Normal 4 5 4 2" xfId="3956" xr:uid="{E8B16453-12A5-4173-8A8A-016D4750934E}"/>
    <cellStyle name="Normal 4 5 5" xfId="3057" xr:uid="{0D8DEE3B-BBD4-43B1-B960-54A89CBC4AF3}"/>
    <cellStyle name="Normal 4 5 5 2" xfId="3957" xr:uid="{351A6F8D-06D1-4F94-AD75-E527F084A362}"/>
    <cellStyle name="Normal 4 6" xfId="3058" xr:uid="{3A4D8A1E-AFA9-4BAB-8D4B-A7ACBE8C3A14}"/>
    <cellStyle name="Normal 4 6 2" xfId="3059" xr:uid="{36CD4EEA-484D-4B87-A4F7-EB6D4811945F}"/>
    <cellStyle name="Normal 4 6 2 2" xfId="3060" xr:uid="{5C00CB1E-7F71-4C4B-8026-DDCA1449949B}"/>
    <cellStyle name="Normal 4 6 2 2 2" xfId="3959" xr:uid="{A582563C-2C49-44E9-8CA2-70C65FECBE32}"/>
    <cellStyle name="Normal 4 6 2 3" xfId="3061" xr:uid="{5C113757-8600-48BF-8871-B2F845F17BF0}"/>
    <cellStyle name="Normal 4 6 2 3 2" xfId="3960" xr:uid="{A6E0666F-2FC2-4EEB-84FA-0F9A6E53FE5B}"/>
    <cellStyle name="Normal 4 6 2 4" xfId="3958" xr:uid="{F70FBBC0-7268-4A1A-942C-F48EF09AEDA5}"/>
    <cellStyle name="Normal 4 6 3" xfId="3062" xr:uid="{DC90DF38-BD0C-47CD-8570-7893E2C464F1}"/>
    <cellStyle name="Normal 4 6 3 2" xfId="3961" xr:uid="{FBDE4B51-FA60-4F09-BE84-9F0B98DF600C}"/>
    <cellStyle name="Normal 4 6 4" xfId="3063" xr:uid="{F679A360-EBAB-4934-BB3D-F9DE384372B4}"/>
    <cellStyle name="Normal 4 6 4 2" xfId="3962" xr:uid="{92CA9B94-1966-42FA-A899-1C2E6B6BDEE0}"/>
    <cellStyle name="Normal 4 7" xfId="3064" xr:uid="{1F93252D-D5BF-4505-BFB1-F2710C1F1C6B}"/>
    <cellStyle name="Normal 4 7 2" xfId="3065" xr:uid="{8098ABFF-FC0E-4D9C-8FBA-B6DE91DF85E1}"/>
    <cellStyle name="Normal 4 7 2 2" xfId="3963" xr:uid="{2D868201-F771-403A-ADC8-7732D9D1C24A}"/>
    <cellStyle name="Normal 4 7 3" xfId="3066" xr:uid="{752EC64E-AA99-45A7-9A3A-AC8D7A087C61}"/>
    <cellStyle name="Normal 4 7 3 2" xfId="3964" xr:uid="{FC64A905-705F-4835-9924-2E10B689198A}"/>
    <cellStyle name="Normal 4 8" xfId="3067" xr:uid="{61FE85B0-7C97-4F0A-A8D2-2B9AF3429CA0}"/>
    <cellStyle name="Normal 4 8 2" xfId="3965" xr:uid="{B38A6753-0F1F-4026-8C23-081BB54F6E32}"/>
    <cellStyle name="Normal 4 9" xfId="3068" xr:uid="{7E634E3A-F8F6-409D-AE21-AE87ACE05BFD}"/>
    <cellStyle name="Normal 4 9 2" xfId="3966" xr:uid="{3A933C7E-A454-4995-8DCF-F2496A0CB668}"/>
    <cellStyle name="Normal 40" xfId="1508" xr:uid="{0678ED52-D772-40A4-A050-8422512AC453}"/>
    <cellStyle name="Normal 41" xfId="1510" xr:uid="{7DE8DAF9-80C6-450A-904E-7A79ED52CED1}"/>
    <cellStyle name="Normal 42" xfId="1512" xr:uid="{74D01AFB-BE4F-4FEF-9279-C38C89CBA31C}"/>
    <cellStyle name="Normal 43" xfId="1514" xr:uid="{F8035CA1-C432-45B1-B491-68C37027D628}"/>
    <cellStyle name="Normal 44" xfId="1516" xr:uid="{2A029B41-DE16-46A8-9636-243F012740C6}"/>
    <cellStyle name="Normal 45" xfId="1518" xr:uid="{6146693A-C26D-48DB-ABFB-A6180A76ED26}"/>
    <cellStyle name="Normal 46" xfId="1520" xr:uid="{6D70D31A-3CE0-457F-9352-EAD798906D71}"/>
    <cellStyle name="Normal 47" xfId="103" xr:uid="{07BB6707-B6DD-4770-B647-F614C56E2EBA}"/>
    <cellStyle name="Normal 47 2" xfId="3069" xr:uid="{FA144D02-3A1D-4BE8-B5F8-EEBCE02A40D8}"/>
    <cellStyle name="Normal 48" xfId="1524" xr:uid="{0CF4069A-DC85-425D-9C92-AEC24AB13F57}"/>
    <cellStyle name="Normal 48 2" xfId="3070" xr:uid="{65A5F9CD-0E9F-4831-985D-C6A1FA108BEE}"/>
    <cellStyle name="Normal 49" xfId="3071" xr:uid="{55845B67-425E-4141-9DA2-AE7BDA97B7C6}"/>
    <cellStyle name="Normal 5" xfId="77" xr:uid="{00000000-0005-0000-0000-00004E000000}"/>
    <cellStyle name="Normal 5 10" xfId="3072" xr:uid="{1F180299-D11E-4691-A3BC-6A30766058B2}"/>
    <cellStyle name="Normal 5 2" xfId="78" xr:uid="{00000000-0005-0000-0000-00004F000000}"/>
    <cellStyle name="Normal 5 2 2" xfId="1522" xr:uid="{4F6B48E3-82A2-4FB2-A4DA-88FF8A3F24DE}"/>
    <cellStyle name="Normal 5 2 2 2" xfId="3967" xr:uid="{6E8FD91E-F73C-4D4B-83D6-BCB6CF6619C1}"/>
    <cellStyle name="Normal 5 2 2 3" xfId="3074" xr:uid="{93D9449C-0731-4E4E-A5FD-13CDED844A0B}"/>
    <cellStyle name="Normal 5 2 3" xfId="79" xr:uid="{00000000-0005-0000-0000-000050000000}"/>
    <cellStyle name="Normal 5 2 3 2" xfId="97" xr:uid="{00000000-0005-0000-0000-000051000000}"/>
    <cellStyle name="Normal 5 2 3 3" xfId="100" xr:uid="{00000000-0005-0000-0000-000052000000}"/>
    <cellStyle name="Normal 5 2 3 4" xfId="3075" xr:uid="{830C0504-59C0-425A-BE28-9BD0D14A18F2}"/>
    <cellStyle name="Normal 5 2 4" xfId="844" xr:uid="{E5ED4AF3-FB2C-445E-AD98-836387592AA0}"/>
    <cellStyle name="Normal 5 2 5" xfId="3073" xr:uid="{56C0C020-69DE-4D76-9EE6-4C91061F98B0}"/>
    <cellStyle name="Normal 5 3" xfId="840" xr:uid="{6F900A40-2CC6-4DF6-9E52-39DACFBB9333}"/>
    <cellStyle name="Normal 5 3 2" xfId="3077" xr:uid="{BBCA93BD-31ED-4CFA-AF41-77815DF67356}"/>
    <cellStyle name="Normal 5 3 2 2" xfId="3968" xr:uid="{61170FAA-F1AD-4202-94A7-4FB129D2D392}"/>
    <cellStyle name="Normal 5 3 3" xfId="3076" xr:uid="{C68D7473-62CF-4AD6-9E94-BFD8F68EF695}"/>
    <cellStyle name="Normal 5 4" xfId="626" xr:uid="{1FAB166A-B1F1-49B7-9742-8EEB87263E54}"/>
    <cellStyle name="Normal 5 4 2" xfId="3079" xr:uid="{4DEB7EE9-FD4F-442C-8985-5FEC00D860D3}"/>
    <cellStyle name="Normal 5 4 2 2" xfId="3969" xr:uid="{3F191751-3DD9-468D-AB0C-7EFBEF0AB236}"/>
    <cellStyle name="Normal 5 4 3" xfId="3078" xr:uid="{6E97F1F0-6138-4218-8871-46830C581C96}"/>
    <cellStyle name="Normal 5 5" xfId="3080" xr:uid="{89C77DDD-9C88-4B95-A1EF-02EA9E2255F2}"/>
    <cellStyle name="Normal 5 5 2" xfId="3081" xr:uid="{1A4EE026-A655-4004-8014-6528CED62249}"/>
    <cellStyle name="Normal 5 5 2 2" xfId="3970" xr:uid="{65D56797-6C03-4185-955A-18AFB547DBED}"/>
    <cellStyle name="Normal 5 6" xfId="3082" xr:uid="{F8DAEB06-1845-4706-A89C-02EFA183480F}"/>
    <cellStyle name="Normal 5 6 2" xfId="3083" xr:uid="{E5B4996A-2943-4C4F-8E3D-5A41EDFB1C20}"/>
    <cellStyle name="Normal 5 7" xfId="3084" xr:uid="{FC4F595B-22D7-41F5-A35C-48BE347FBD09}"/>
    <cellStyle name="Normal 5 7 2" xfId="3971" xr:uid="{28ACA489-932A-4CEF-9C2C-1FCF4CBEEED7}"/>
    <cellStyle name="Normal 5 8" xfId="3085" xr:uid="{1CF6A98C-F586-4729-B486-FB7D04560BD0}"/>
    <cellStyle name="Normal 5 8 2" xfId="3972" xr:uid="{143065AB-712B-49CA-BC9F-295997355A73}"/>
    <cellStyle name="Normal 5 9" xfId="3086" xr:uid="{9420FDBA-D477-4386-B203-4FDD42BBDD56}"/>
    <cellStyle name="Normal 5 9 2" xfId="3973" xr:uid="{22D8F9FE-4D92-4BF7-8C1B-F0D9C57627B7}"/>
    <cellStyle name="Normal 50" xfId="3087" xr:uid="{2F20D1CA-1F6D-4FEC-8F8A-B4910FFA7208}"/>
    <cellStyle name="Normal 51" xfId="3088" xr:uid="{1EFB2B35-30E0-4DD7-B94B-A805FE6A2ED9}"/>
    <cellStyle name="Normal 52" xfId="3089" xr:uid="{C5991479-8656-43B7-B3B4-2E22DB5F57E7}"/>
    <cellStyle name="Normal 53" xfId="3090" xr:uid="{A94D4159-8C06-48B3-92CB-B766D3DD6BFF}"/>
    <cellStyle name="Normal 54" xfId="3091" xr:uid="{E0CE1E2D-3963-43B4-8025-546B6E4FAE78}"/>
    <cellStyle name="Normal 55" xfId="3092" xr:uid="{6281283F-850E-4347-BA3A-89DF7FE4EED5}"/>
    <cellStyle name="Normal 56" xfId="3093" xr:uid="{53B7D51B-F31E-4C7F-BF8F-528767F42048}"/>
    <cellStyle name="Normal 57" xfId="3094" xr:uid="{A8E3A9AD-5326-4D03-BC52-3DDE969D20EA}"/>
    <cellStyle name="Normal 58" xfId="3095" xr:uid="{36BB42E3-7D1F-48F1-A80B-9CB7036C18FD}"/>
    <cellStyle name="Normal 59" xfId="3096" xr:uid="{35FBBF91-90D5-4F3C-A6AB-8589A767155D}"/>
    <cellStyle name="Normal 6" xfId="80" xr:uid="{00000000-0005-0000-0000-000053000000}"/>
    <cellStyle name="Normal 6 2" xfId="843" xr:uid="{213AA290-D736-4DDA-A4D4-2EF27A647389}"/>
    <cellStyle name="Normal 6 2 2" xfId="3099" xr:uid="{DA9D6632-EAAC-4A9B-A467-9ECEE171063D}"/>
    <cellStyle name="Normal 6 2 2 2" xfId="3974" xr:uid="{13437F6F-E3FA-4472-B740-7FE113E02F31}"/>
    <cellStyle name="Normal 6 2 3" xfId="3098" xr:uid="{40493E82-0948-4A98-8BBB-C8D847A0FAD5}"/>
    <cellStyle name="Normal 6 3" xfId="627" xr:uid="{4A26A58B-7FCB-41A0-981C-8E1A21369BCB}"/>
    <cellStyle name="Normal 6 3 2" xfId="3101" xr:uid="{FFB2F8D9-26C5-462A-9BA9-637DA7C39027}"/>
    <cellStyle name="Normal 6 3 3" xfId="3100" xr:uid="{761DFEB4-BAD6-4410-87A8-A9B2202AD32B}"/>
    <cellStyle name="Normal 6 4" xfId="3102" xr:uid="{698D1C90-C82C-4510-A65F-9AF5DA42F829}"/>
    <cellStyle name="Normal 6 4 2" xfId="3975" xr:uid="{83516665-EFCE-4C69-BB27-4EAFE3926650}"/>
    <cellStyle name="Normal 6 5" xfId="3103" xr:uid="{EDD69812-9B78-4698-BD24-895FB3B0B94F}"/>
    <cellStyle name="Normal 6 5 2" xfId="3976" xr:uid="{0C6F3C51-1C02-4883-B336-78B66ACD74CA}"/>
    <cellStyle name="Normal 6 6" xfId="3097" xr:uid="{19295E8D-A89A-49CB-A0A9-DFD15417DB72}"/>
    <cellStyle name="Normal 60" xfId="3104" xr:uid="{AB8F29BE-A568-4EE1-805D-9590CC9C5133}"/>
    <cellStyle name="Normal 61" xfId="3105" xr:uid="{E65E022C-0A15-467E-AEC6-82084B82E3EA}"/>
    <cellStyle name="Normal 62" xfId="3106" xr:uid="{5794CB5A-E10E-45CF-B6E1-D46CBC457CE5}"/>
    <cellStyle name="Normal 63" xfId="3107" xr:uid="{C567A1AB-A6D5-4D4D-A432-48CEC1A6E1FD}"/>
    <cellStyle name="Normal 64" xfId="3108" xr:uid="{C3A1A2B9-CB4F-428C-B844-1317830DE42F}"/>
    <cellStyle name="Normal 65" xfId="3109" xr:uid="{6ADA7ED0-8164-43DE-B20E-53AA3FBEB9D4}"/>
    <cellStyle name="Normal 66" xfId="3110" xr:uid="{A99DEABB-9E35-4645-AF82-CFA036BB0BFC}"/>
    <cellStyle name="Normal 67" xfId="3111" xr:uid="{0276BD34-C7DA-4F5C-B5EE-6C3CAD6526ED}"/>
    <cellStyle name="Normal 68" xfId="3112" xr:uid="{6E9325AE-91BD-4A06-A31C-38BE9B87A9A9}"/>
    <cellStyle name="Normal 68 2" xfId="3977" xr:uid="{4A55D801-0383-4695-A2E8-CB3A66632324}"/>
    <cellStyle name="Normal 69" xfId="3113" xr:uid="{A1DE6836-1D1B-4B0D-B96B-0A2A125F7315}"/>
    <cellStyle name="Normal 69 2" xfId="3978" xr:uid="{BFD92387-75EB-43D8-95B6-1F094CB05749}"/>
    <cellStyle name="Normal 7" xfId="81" xr:uid="{00000000-0005-0000-0000-000054000000}"/>
    <cellStyle name="Normal 7 2" xfId="628" xr:uid="{13E091AF-29C3-4863-8FB8-0E8A765159CD}"/>
    <cellStyle name="Normal 7 2 2" xfId="3115" xr:uid="{754E3403-7165-4409-AA1C-664025814581}"/>
    <cellStyle name="Normal 7 2 2 2" xfId="3979" xr:uid="{F3C56F01-B9F3-4DC2-BF0A-669299E7DD17}"/>
    <cellStyle name="Normal 7 2 3" xfId="3114" xr:uid="{A66D74B6-2126-4D29-978E-6722876AFCD8}"/>
    <cellStyle name="Normal 7 3" xfId="3116" xr:uid="{3BB66002-F8B2-4C9D-84F0-B492D7CE524A}"/>
    <cellStyle name="Normal 7 3 2" xfId="3980" xr:uid="{5D90E818-545F-4329-B0FE-E1949504CC05}"/>
    <cellStyle name="Normal 7 4" xfId="3117" xr:uid="{ACC0AE04-153F-4F33-A816-997F752BF053}"/>
    <cellStyle name="Normal 70" xfId="3118" xr:uid="{5BD5A87C-A4E6-4022-9D08-BADE5BC61FA6}"/>
    <cellStyle name="Normal 70 2" xfId="3981" xr:uid="{74376800-0CE8-411B-843F-DB4B51D2BEDA}"/>
    <cellStyle name="Normal 71" xfId="3119" xr:uid="{EA1520AD-CB09-400E-9BA7-0DA3FF321CC5}"/>
    <cellStyle name="Normal 72" xfId="3120" xr:uid="{1C929286-73DB-4E2B-A603-56EE144B1BC9}"/>
    <cellStyle name="Normal 73" xfId="3121" xr:uid="{638D221C-3C33-4B85-9457-4F1E0FBA85C5}"/>
    <cellStyle name="Normal 74" xfId="3122" xr:uid="{4522FBA0-6AE7-4A76-A837-47A181CCA17B}"/>
    <cellStyle name="Normal 75" xfId="3123" xr:uid="{B03DB7FC-A33F-44A4-855D-DA49053622BC}"/>
    <cellStyle name="Normal 76" xfId="3124" xr:uid="{3DC68567-0045-4E5B-903F-8675CD359BC5}"/>
    <cellStyle name="Normal 77" xfId="3125" xr:uid="{AED983EC-44A6-4BBC-B996-34406F5089F9}"/>
    <cellStyle name="Normal 78" xfId="3126" xr:uid="{E2297525-DA12-4238-BC5F-E1078BC7C875}"/>
    <cellStyle name="Normal 79" xfId="1537" xr:uid="{27ED1742-BBC0-49D1-B228-F1A124EC1ABD}"/>
    <cellStyle name="Normal 8" xfId="101" xr:uid="{947A62E7-9B13-4125-8F42-56423315674A}"/>
    <cellStyle name="Normal 8 2" xfId="629" xr:uid="{6582A769-8B2B-4D65-B887-379AD44BDFA1}"/>
    <cellStyle name="Normal 8 2 2" xfId="3129" xr:uid="{6FBE54EC-1B2F-4E15-825D-5EB183989BFE}"/>
    <cellStyle name="Normal 8 2 2 2" xfId="3982" xr:uid="{462ED283-44BD-41C2-AF15-B2C916800D43}"/>
    <cellStyle name="Normal 8 2 3" xfId="3130" xr:uid="{BB333824-FF26-4B97-9510-AFD15883B1C2}"/>
    <cellStyle name="Normal 8 2 4" xfId="3128" xr:uid="{FBCA31C1-029C-461C-A959-24F26A6CB36E}"/>
    <cellStyle name="Normal 8 3" xfId="3131" xr:uid="{BC1E597B-0759-4C95-A6E8-C26C9E159E62}"/>
    <cellStyle name="Normal 8 3 2" xfId="3983" xr:uid="{1AD347CB-8481-47D3-B83B-F4F1084C8ECB}"/>
    <cellStyle name="Normal 8 4" xfId="3132" xr:uid="{07C6B0D2-59A2-4AED-9AFD-CE30AB3C2C28}"/>
    <cellStyle name="Normal 8 4 2" xfId="3984" xr:uid="{B4D2E60C-79F3-4340-9BB2-5F07AEC446F0}"/>
    <cellStyle name="Normal 8 5" xfId="3133" xr:uid="{3974CA91-CD5F-468C-8EB8-D66CC55934A8}"/>
    <cellStyle name="Normal 8 6" xfId="3127" xr:uid="{AD3E5037-5B9A-4AE0-A551-DF11A4D9D7E1}"/>
    <cellStyle name="Normal 9" xfId="630" xr:uid="{1308C8C4-F275-4DBD-A9E8-E228AB03DA1C}"/>
    <cellStyle name="Normal 9 2" xfId="3135" xr:uid="{CB868C38-64D1-4349-BC22-AAC4582C65DE}"/>
    <cellStyle name="Normal 9 2 2" xfId="3136" xr:uid="{FA668D95-4AB8-4576-9809-237BFFCBE5CB}"/>
    <cellStyle name="Normal 9 2 2 2" xfId="3986" xr:uid="{655EB35F-17CB-44EA-A4E2-0677088F08EF}"/>
    <cellStyle name="Normal 9 2 3" xfId="3985" xr:uid="{971CA547-FA0B-47EC-A846-24C2B3499FD5}"/>
    <cellStyle name="Normal 9 3" xfId="3137" xr:uid="{36BCB4C7-90E2-408E-B55B-799F1E7CD1C1}"/>
    <cellStyle name="Normal 9 3 2" xfId="3987" xr:uid="{2D4B69E7-8D39-4981-A4DF-68711C323C21}"/>
    <cellStyle name="Normal 9 4" xfId="3134" xr:uid="{49F551DF-422E-482D-A524-96E96B61E32F}"/>
    <cellStyle name="Note 10" xfId="631" xr:uid="{35EB5A95-A177-4B20-9CA8-FDBCC671FD84}"/>
    <cellStyle name="Note 10 2" xfId="3138" xr:uid="{51CD742A-7F5B-4C2A-9389-EDD00D29E8A4}"/>
    <cellStyle name="Note 10 2 2" xfId="3988" xr:uid="{F461D8C3-9B0F-4C8B-925A-07CD6E6BCCED}"/>
    <cellStyle name="Note 11" xfId="632" xr:uid="{DD8908E4-84DE-45EA-B7BC-C557752625C8}"/>
    <cellStyle name="Note 11 2" xfId="3139" xr:uid="{D4DFA360-21C6-468A-9BD1-C370852E006C}"/>
    <cellStyle name="Note 11 2 2" xfId="3989" xr:uid="{FB354938-7335-4175-A9EB-6BE619268B30}"/>
    <cellStyle name="Note 12" xfId="633" xr:uid="{68F04D36-2740-4F78-83FA-8F74E024A676}"/>
    <cellStyle name="Note 12 2" xfId="3140" xr:uid="{A20FBEAC-3A8C-4D0E-AF1D-83DF0CAF4596}"/>
    <cellStyle name="Note 12 2 2" xfId="3990" xr:uid="{012472D5-F118-45EA-8DCA-D5C819B4FDD9}"/>
    <cellStyle name="Note 13" xfId="634" xr:uid="{5D21E44C-0A5A-42B8-93C2-5BF90A920C88}"/>
    <cellStyle name="Note 13 2" xfId="3141" xr:uid="{7D8C5CB7-32FE-4331-8468-45677CF92C08}"/>
    <cellStyle name="Note 13 2 2" xfId="3991" xr:uid="{759FBC58-2EF0-468E-BAE6-BF9C7E35B376}"/>
    <cellStyle name="Note 14" xfId="635" xr:uid="{647CC37C-98B8-4CEF-BCF8-D50D5CDAC4E6}"/>
    <cellStyle name="Note 14 2" xfId="3142" xr:uid="{EE02493D-2ED4-49AA-A667-DA7B7E498A16}"/>
    <cellStyle name="Note 14 2 2" xfId="3992" xr:uid="{2CFBA453-B35E-4B5F-95A0-E92A7C5B7863}"/>
    <cellStyle name="Note 15" xfId="636" xr:uid="{CADABAD8-6058-424E-B810-088BEF2266A5}"/>
    <cellStyle name="Note 15 2" xfId="3143" xr:uid="{3C5FC1DA-6325-4A21-A441-8AA67909A588}"/>
    <cellStyle name="Note 15 2 2" xfId="3993" xr:uid="{726D64FE-863D-4E15-9BFF-40098D34FD9D}"/>
    <cellStyle name="Note 16" xfId="853" xr:uid="{F0178167-BA7F-43D7-A57C-AB12C251AE24}"/>
    <cellStyle name="Note 2" xfId="82" xr:uid="{00000000-0005-0000-0000-000055000000}"/>
    <cellStyle name="Note 2 10" xfId="3145" xr:uid="{D024DB17-6C40-454A-BD1C-9AAD3D29A467}"/>
    <cellStyle name="Note 2 10 2" xfId="3994" xr:uid="{A5AD21F6-1B49-4D2C-8538-7384A79AAD13}"/>
    <cellStyle name="Note 2 11" xfId="3146" xr:uid="{7A4C1CC0-5857-4237-AEFB-58E279DABBE0}"/>
    <cellStyle name="Note 2 12" xfId="3147" xr:uid="{1C98557A-6E77-44FE-8090-AC89F6D2B1B5}"/>
    <cellStyle name="Note 2 12 2" xfId="3995" xr:uid="{78C17B6E-AC45-4A1B-ACF7-E5788885758B}"/>
    <cellStyle name="Note 2 13" xfId="3144" xr:uid="{2315F6C3-71BC-4A16-AAAA-97376DF8BCFD}"/>
    <cellStyle name="Note 2 2" xfId="811" xr:uid="{88EE9475-8459-4E92-B64E-E25ACC6A51C7}"/>
    <cellStyle name="Note 2 2 2" xfId="3149" xr:uid="{D31C8499-C77B-4E63-8E72-F8620547486C}"/>
    <cellStyle name="Note 2 2 3" xfId="3148" xr:uid="{9763E7E9-AB4D-4743-983F-F3089D00C071}"/>
    <cellStyle name="Note 2 3" xfId="637" xr:uid="{CF50727E-2C77-407C-AC31-2D4DB5D30CFE}"/>
    <cellStyle name="Note 2 3 2" xfId="3151" xr:uid="{938BD703-54AE-4351-A262-E82B8B35244F}"/>
    <cellStyle name="Note 2 3 2 2" xfId="3152" xr:uid="{E1497DCA-2651-4139-9653-A3D2AD1049D6}"/>
    <cellStyle name="Note 2 3 2 2 2" xfId="3153" xr:uid="{84846449-8B4B-40CB-A8F4-CF39F4777BC3}"/>
    <cellStyle name="Note 2 3 2 2 2 2" xfId="3998" xr:uid="{CCF22707-2362-4B1A-A0F6-3BF5EF103F2F}"/>
    <cellStyle name="Note 2 3 2 2 3" xfId="3154" xr:uid="{8F24052E-17AB-4B1D-A6D9-37BEBE3999CC}"/>
    <cellStyle name="Note 2 3 2 2 3 2" xfId="3999" xr:uid="{5DC0DC09-FA3E-4897-8158-546EB80397AE}"/>
    <cellStyle name="Note 2 3 2 2 4" xfId="3997" xr:uid="{E09ED42F-DF7B-41D0-BEDC-F6B2D2B4EFC6}"/>
    <cellStyle name="Note 2 3 2 3" xfId="3155" xr:uid="{75D52522-8AD3-4D68-8AC4-F9B7B2E93E05}"/>
    <cellStyle name="Note 2 3 2 3 2" xfId="4000" xr:uid="{58F6E2F6-6B45-4D26-9214-9E456EB00F96}"/>
    <cellStyle name="Note 2 3 2 4" xfId="3156" xr:uid="{CE94D944-184C-479E-99C8-2E7918A9D979}"/>
    <cellStyle name="Note 2 3 2 4 2" xfId="4001" xr:uid="{4ED52FDA-8AB9-4624-97F4-869BB8ACB40A}"/>
    <cellStyle name="Note 2 3 2 5" xfId="3996" xr:uid="{A9D58885-DC59-4E1A-A2EF-C555763E32AE}"/>
    <cellStyle name="Note 2 3 3" xfId="3157" xr:uid="{5EEB194A-5A54-48A4-A878-E35A11AC0C84}"/>
    <cellStyle name="Note 2 3 3 2" xfId="3158" xr:uid="{C8558BB9-2579-4372-930F-87C5934B237D}"/>
    <cellStyle name="Note 2 3 3 2 2" xfId="4003" xr:uid="{F692E67D-1573-4A1D-8A48-32244A123CBE}"/>
    <cellStyle name="Note 2 3 3 3" xfId="3159" xr:uid="{B5D07914-FB25-433F-9FB7-A321C41EFD93}"/>
    <cellStyle name="Note 2 3 3 3 2" xfId="4004" xr:uid="{2F99AE9B-6E66-4A1A-8D2E-8F49F3E18DF5}"/>
    <cellStyle name="Note 2 3 3 4" xfId="4002" xr:uid="{2076984C-FD5B-4BF5-A565-9F3E77D091BD}"/>
    <cellStyle name="Note 2 3 4" xfId="3160" xr:uid="{9D979182-F29D-4693-99A8-98F4A6B613DB}"/>
    <cellStyle name="Note 2 3 4 2" xfId="4005" xr:uid="{26F13793-EAE5-43B8-9929-76460C8FB834}"/>
    <cellStyle name="Note 2 3 5" xfId="3161" xr:uid="{49337AC2-CCEE-4FF5-A62D-D12523D59616}"/>
    <cellStyle name="Note 2 3 5 2" xfId="4006" xr:uid="{250007FE-96DF-4090-ADE7-18244ED31E05}"/>
    <cellStyle name="Note 2 3 6" xfId="3150" xr:uid="{76C913F7-36F1-4B52-B726-A06E77228D21}"/>
    <cellStyle name="Note 2 4" xfId="3162" xr:uid="{492798C0-58AD-4CFF-A274-DD2B385EAF86}"/>
    <cellStyle name="Note 2 4 2" xfId="3163" xr:uid="{8B4A06D1-E502-46B7-B390-46DE59187255}"/>
    <cellStyle name="Note 2 4 2 2" xfId="3164" xr:uid="{4C91C560-F257-4598-8832-571E630B44D5}"/>
    <cellStyle name="Note 2 4 2 2 2" xfId="4008" xr:uid="{EDC896B7-0EEC-4916-99DB-4FB36231201B}"/>
    <cellStyle name="Note 2 4 2 3" xfId="3165" xr:uid="{60688583-1296-45D7-9295-1799E62E3794}"/>
    <cellStyle name="Note 2 4 2 3 2" xfId="4009" xr:uid="{F34564D1-798D-4A2B-9DA8-4E962FA856C1}"/>
    <cellStyle name="Note 2 4 2 4" xfId="4007" xr:uid="{CA99C699-65D2-41DF-9923-E0BA03E0CA84}"/>
    <cellStyle name="Note 2 4 3" xfId="3166" xr:uid="{42A67E5B-DD00-49C8-AC8A-0F54ED9DB71F}"/>
    <cellStyle name="Note 2 4 3 2" xfId="3167" xr:uid="{B6DCDD2B-BF9C-4E83-8DAC-931CA04A7252}"/>
    <cellStyle name="Note 2 4 3 2 2" xfId="4011" xr:uid="{269ECA4C-47D3-4F56-8A93-E94309F16B8E}"/>
    <cellStyle name="Note 2 4 3 3" xfId="3168" xr:uid="{3E49CEA6-BFCB-4AE2-A173-EFBBE7CD5DC7}"/>
    <cellStyle name="Note 2 4 3 3 2" xfId="4012" xr:uid="{797AFE7F-B5F0-4417-AE1C-14AD78945291}"/>
    <cellStyle name="Note 2 4 3 4" xfId="4010" xr:uid="{2DB5C5E8-8330-4DC1-8153-F77093F3A528}"/>
    <cellStyle name="Note 2 4 4" xfId="3169" xr:uid="{65A0B2E6-7A21-49C8-A049-E3882EBCD701}"/>
    <cellStyle name="Note 2 4 4 2" xfId="4013" xr:uid="{0720AC0A-DFC6-4A46-B32D-4202EC958568}"/>
    <cellStyle name="Note 2 4 5" xfId="3170" xr:uid="{B540D765-534E-4065-9A2F-32B6A76B5820}"/>
    <cellStyle name="Note 2 4 5 2" xfId="4014" xr:uid="{6D48989E-7CC2-45DB-A0F3-53B892C28FED}"/>
    <cellStyle name="Note 2 5" xfId="3171" xr:uid="{380FDF61-821A-41AE-9776-DE6431F556EB}"/>
    <cellStyle name="Note 2 5 2" xfId="3172" xr:uid="{90882FE0-FF71-4915-AA5A-C38B9D556133}"/>
    <cellStyle name="Note 2 5 2 2" xfId="3173" xr:uid="{6D586D44-169F-4D48-94BB-189FF7DEB0D2}"/>
    <cellStyle name="Note 2 5 2 2 2" xfId="4016" xr:uid="{06D37D28-41C7-4D81-87A3-28898417CA84}"/>
    <cellStyle name="Note 2 5 2 3" xfId="3174" xr:uid="{07075368-4740-49F4-AF51-EEC24790237D}"/>
    <cellStyle name="Note 2 5 2 3 2" xfId="4017" xr:uid="{108B8971-436E-4BF6-A42B-1A49BF90B1F6}"/>
    <cellStyle name="Note 2 5 2 4" xfId="4015" xr:uid="{7FEAED71-D362-4C4A-89F5-7EC0F0E7B723}"/>
    <cellStyle name="Note 2 5 3" xfId="3175" xr:uid="{62E8167E-1C65-460D-8F01-C07883216CE2}"/>
    <cellStyle name="Note 2 5 3 2" xfId="4018" xr:uid="{3EA400DF-1012-4C31-9D3F-9A071AC75433}"/>
    <cellStyle name="Note 2 5 4" xfId="3176" xr:uid="{3979A77D-DEA7-4D25-87BD-B796E7592D6F}"/>
    <cellStyle name="Note 2 5 4 2" xfId="4019" xr:uid="{698F225E-4E9C-4306-BC6B-6E3ECD0F43D9}"/>
    <cellStyle name="Note 2 6" xfId="3177" xr:uid="{DB88B0F8-C4C0-4BE2-B24B-2D91225123CA}"/>
    <cellStyle name="Note 2 6 2" xfId="3178" xr:uid="{FF6F6669-0EE3-4EAD-9A42-FC0831E2424A}"/>
    <cellStyle name="Note 2 6 2 2" xfId="4020" xr:uid="{A8D57B0A-7DC3-4E0B-A2F6-729D0C7E73EA}"/>
    <cellStyle name="Note 2 6 3" xfId="3179" xr:uid="{1C148996-FD7F-4EE8-BA62-5D65CFBF49A8}"/>
    <cellStyle name="Note 2 6 3 2" xfId="4021" xr:uid="{262AAB51-5646-4784-B69E-96C3F30D60F3}"/>
    <cellStyle name="Note 2 7" xfId="3180" xr:uid="{D5E9C8DA-7397-40FA-B21E-CF3F0B7969F4}"/>
    <cellStyle name="Note 2 7 2" xfId="4022" xr:uid="{FCE99F72-C562-49F9-AF27-514132BC755C}"/>
    <cellStyle name="Note 2 8" xfId="3181" xr:uid="{131E66EA-215D-4412-A2F8-8016A86B6720}"/>
    <cellStyle name="Note 2 8 2" xfId="4023" xr:uid="{83A2DC66-1F26-4F08-B713-D44C8F3EBF4D}"/>
    <cellStyle name="Note 2 9" xfId="3182" xr:uid="{BF9903BC-7C52-482C-A276-CA79C57021AF}"/>
    <cellStyle name="Note 3" xfId="638" xr:uid="{19CEE5A5-BE22-42FF-910F-F069B3250C44}"/>
    <cellStyle name="Note 3 2" xfId="3184" xr:uid="{5F9888C6-1299-46CB-9D37-AD20611083F3}"/>
    <cellStyle name="Note 3 2 2" xfId="4024" xr:uid="{7176AF0E-0445-4FFC-8784-31C6EB9640C3}"/>
    <cellStyle name="Note 3 3" xfId="3185" xr:uid="{80F12924-4166-4667-9EE1-EA3F49C141D8}"/>
    <cellStyle name="Note 3 4" xfId="3186" xr:uid="{4796AB6D-26D4-44BE-B086-A6EAED981D50}"/>
    <cellStyle name="Note 3 5" xfId="3183" xr:uid="{7D7194C2-53E3-43ED-8D7F-AEF85EF52447}"/>
    <cellStyle name="Note 4" xfId="639" xr:uid="{7AAED23A-34C0-4215-94F7-C4B1D21960EC}"/>
    <cellStyle name="Note 4 2" xfId="3188" xr:uid="{4A56FD53-88DF-4CB8-8911-181C4440B2FB}"/>
    <cellStyle name="Note 4 2 2" xfId="4025" xr:uid="{911D5493-7A50-45D9-86EA-F17A16B59E74}"/>
    <cellStyle name="Note 4 3" xfId="3187" xr:uid="{D9703774-154F-4A8E-8738-6482E0700264}"/>
    <cellStyle name="Note 5" xfId="640" xr:uid="{3103A930-B420-44AE-8895-D819302C9BDA}"/>
    <cellStyle name="Note 5 2" xfId="3190" xr:uid="{C2119399-959F-44C1-8A0A-BF5A6F0A4D89}"/>
    <cellStyle name="Note 5 2 2" xfId="4026" xr:uid="{02B303C7-FAED-4029-AC8F-E5FFC6661E4E}"/>
    <cellStyle name="Note 5 3" xfId="3189" xr:uid="{3192B608-E211-4968-99A5-265F12CA2115}"/>
    <cellStyle name="Note 6" xfId="641" xr:uid="{C572E38B-6B5D-494E-8559-22C9EAB31C47}"/>
    <cellStyle name="Note 6 2" xfId="3191" xr:uid="{4825A633-26A2-4152-9F10-DB4C2416F3EC}"/>
    <cellStyle name="Note 6 2 2" xfId="4028" xr:uid="{874C7ED5-9384-49F9-8332-C8CF21C75A07}"/>
    <cellStyle name="Note 7" xfId="642" xr:uid="{3E7F198A-42F7-4B61-99ED-E2D3DCC08E12}"/>
    <cellStyle name="Note 7 2" xfId="3192" xr:uid="{3F6A74FB-2EB7-407C-BD9F-7FEC8C883850}"/>
    <cellStyle name="Note 7 2 2" xfId="4029" xr:uid="{B85B2CE2-2B1E-417B-A3FC-CFE25382D3C6}"/>
    <cellStyle name="Note 8" xfId="643" xr:uid="{25454A26-39A3-4DBB-88AA-CA12323CA64D}"/>
    <cellStyle name="Note 8 2" xfId="3193" xr:uid="{E55CCF5F-5555-4459-B42D-3D82E60D83FB}"/>
    <cellStyle name="Note 8 2 2" xfId="4030" xr:uid="{64CAC776-A77F-498A-A21E-6E02127CB7AB}"/>
    <cellStyle name="Note 9" xfId="644" xr:uid="{00A3A72B-FBB4-4FAD-806E-3FCEF69DB47B}"/>
    <cellStyle name="Note 9 2" xfId="3194" xr:uid="{D4583715-06C3-4C5A-B017-9E1516101946}"/>
    <cellStyle name="Note 9 2 2" xfId="4031" xr:uid="{FBE1A648-90C3-4DE2-9B4C-9D0C1B24DE72}"/>
    <cellStyle name="Output 10" xfId="645" xr:uid="{948DCE6F-F3AD-49C7-90BE-C0A77BA0A473}"/>
    <cellStyle name="Output 10 2" xfId="3195" xr:uid="{EA2B219C-F270-4DAE-A7B3-D8F718D735DE}"/>
    <cellStyle name="Output 11" xfId="646" xr:uid="{41BB4598-CBAA-49B3-BCA1-F91656EA7BA5}"/>
    <cellStyle name="Output 11 2" xfId="3196" xr:uid="{9F185C09-9F45-49DB-BD4F-48D99E43858F}"/>
    <cellStyle name="Output 12" xfId="647" xr:uid="{D44A6A04-6B8C-4AC3-8451-ACF4F4536437}"/>
    <cellStyle name="Output 12 2" xfId="3197" xr:uid="{57609D4A-24DE-4FFC-A6A3-C5C614296491}"/>
    <cellStyle name="Output 13" xfId="648" xr:uid="{A1C840EB-126E-476B-9DB7-9F9FD513C45C}"/>
    <cellStyle name="Output 13 2" xfId="3198" xr:uid="{26386880-9D49-44C9-A4C9-DC2E5F783E3E}"/>
    <cellStyle name="Output 14" xfId="649" xr:uid="{209CA6CB-EBC5-4833-A448-26231E2C1D8F}"/>
    <cellStyle name="Output 14 2" xfId="3199" xr:uid="{9713433E-595D-40A8-9982-0F396E551AAB}"/>
    <cellStyle name="Output 15" xfId="650" xr:uid="{E30BF09A-1449-4208-A811-33F74229B6CB}"/>
    <cellStyle name="Output 15 2" xfId="3200" xr:uid="{3C0DD726-B618-489E-833E-19D1FE039CF1}"/>
    <cellStyle name="Output 16" xfId="850" xr:uid="{09A8C6D2-A18C-40CA-ADA3-B844F231D36B}"/>
    <cellStyle name="Output 16 2" xfId="3201" xr:uid="{4C2B7E1C-380E-4AB2-B4F1-E0F348C0251F}"/>
    <cellStyle name="Output 2" xfId="83" xr:uid="{00000000-0005-0000-0000-000056000000}"/>
    <cellStyle name="Output 2 2" xfId="806" xr:uid="{868B9F9B-667E-4F4E-AC42-FC4F489CB68D}"/>
    <cellStyle name="Output 2 2 2" xfId="3204" xr:uid="{59C1F0C0-5CDC-4F42-95D9-459F7FA8456C}"/>
    <cellStyle name="Output 2 2 3" xfId="3203" xr:uid="{4A0A973D-5113-4BEB-A4E6-C70938BC0D11}"/>
    <cellStyle name="Output 2 3" xfId="651" xr:uid="{B5A3D20B-4584-4D4F-B9C7-E8488A6C23BE}"/>
    <cellStyle name="Output 2 3 2" xfId="3206" xr:uid="{DCA7F719-0CF7-48B6-860E-B5811A0250BE}"/>
    <cellStyle name="Output 2 3 3" xfId="3205" xr:uid="{FD702B1D-0899-44A8-AC15-943A57C65B10}"/>
    <cellStyle name="Output 2 4" xfId="3207" xr:uid="{3844ADD0-1EC8-4B76-AD43-01406595B2B8}"/>
    <cellStyle name="Output 2 5" xfId="3208" xr:uid="{EFB6CD7C-FE46-4BBD-8371-DEB65828F5D0}"/>
    <cellStyle name="Output 2 6" xfId="3209" xr:uid="{EB2B9A5E-DAEF-4538-B563-6E56CCCEA8B0}"/>
    <cellStyle name="Output 2 7" xfId="3202" xr:uid="{18C2AE86-7E81-45ED-974F-B29D68C6B641}"/>
    <cellStyle name="Output 3" xfId="652" xr:uid="{06436D1D-8BB7-4628-9EA9-12D6FC22BB0A}"/>
    <cellStyle name="Output 3 2" xfId="3211" xr:uid="{389BB5F2-8CDF-4F28-BF66-A52B42B8DEF5}"/>
    <cellStyle name="Output 3 3" xfId="3212" xr:uid="{130566DF-4589-4624-9F4C-CF6F7848AD98}"/>
    <cellStyle name="Output 3 4" xfId="3210" xr:uid="{1144CA18-77F8-4076-846F-1364586EA499}"/>
    <cellStyle name="Output 4" xfId="653" xr:uid="{6FD8334D-DB5B-4630-81A8-BD868D298189}"/>
    <cellStyle name="Output 4 2" xfId="3214" xr:uid="{2AF86DC5-3D83-4146-93F2-AF0DB7BEC804}"/>
    <cellStyle name="Output 4 3" xfId="3213" xr:uid="{4D4576D6-6335-454C-ACEA-9FADB4AEC0E6}"/>
    <cellStyle name="Output 5" xfId="654" xr:uid="{1D3CCAC3-AAD0-459B-B647-1D3C3BE34F01}"/>
    <cellStyle name="Output 5 2" xfId="3215" xr:uid="{D080026D-4BBA-49DE-B5C0-3E5061B1B9F1}"/>
    <cellStyle name="Output 6" xfId="655" xr:uid="{26FD6B34-F510-4192-9020-53C7C8AA0209}"/>
    <cellStyle name="Output 6 2" xfId="3216" xr:uid="{7D2570F1-09DE-407D-88FF-2396ECB8B5A4}"/>
    <cellStyle name="Output 7" xfId="656" xr:uid="{E462345A-6513-4121-9711-FF362BF6DCF1}"/>
    <cellStyle name="Output 7 2" xfId="3217" xr:uid="{DED108C6-6982-49C3-B890-43033BB8209F}"/>
    <cellStyle name="Output 8" xfId="657" xr:uid="{94957617-06E5-49AE-AB00-F8F922E700A8}"/>
    <cellStyle name="Output 8 2" xfId="3218" xr:uid="{5BCF349F-35A7-455C-9FDE-B9D7E7F5BCAA}"/>
    <cellStyle name="Output 9" xfId="658" xr:uid="{9DC6D9F4-C9EC-4F7E-B76A-0C28FDD3DEC9}"/>
    <cellStyle name="Output 9 2" xfId="3219" xr:uid="{889700EE-B023-47A3-A410-2543402F3002}"/>
    <cellStyle name="Percent" xfId="2" builtinId="5"/>
    <cellStyle name="Percent [2]" xfId="84" xr:uid="{00000000-0005-0000-0000-000058000000}"/>
    <cellStyle name="Percent [2] 2" xfId="3222" xr:uid="{E8542C75-2A62-4BB1-90B5-3F5CA6E48EFC}"/>
    <cellStyle name="Percent [2] 2 2" xfId="3223" xr:uid="{A726A1A0-4487-41BB-BEED-08904089A954}"/>
    <cellStyle name="Percent [2] 3" xfId="3224" xr:uid="{3A1DA25B-2EE4-4B68-8F99-6985E74D78AB}"/>
    <cellStyle name="Percent [2] 4" xfId="3221" xr:uid="{C537E53A-F1DE-40DB-8454-FA1D60975D4F}"/>
    <cellStyle name="Percent 10" xfId="932" xr:uid="{FB1570F1-7578-4FAD-BB88-C18527592552}"/>
    <cellStyle name="Percent 10 2" xfId="3226" xr:uid="{FD28D1AF-FB3A-4455-9EEA-E771F7DC6FBA}"/>
    <cellStyle name="Percent 10 2 2" xfId="4033" xr:uid="{8EB2B08C-D12A-4D23-9E31-FB6799619E0F}"/>
    <cellStyle name="Percent 10 3" xfId="3227" xr:uid="{978A8D5D-7FB8-4DBF-BD97-23F469834D8C}"/>
    <cellStyle name="Percent 10 4" xfId="3225" xr:uid="{3E4C5AE9-8AB0-457F-8C2C-5CBC8C7CCB94}"/>
    <cellStyle name="Percent 100" xfId="3228" xr:uid="{4CD7C043-273D-4CCE-B543-3BFCAA8BE9FE}"/>
    <cellStyle name="Percent 101" xfId="3229" xr:uid="{0D58841C-9BA2-4BE0-BA4F-A3816E1ECBC6}"/>
    <cellStyle name="Percent 102" xfId="3230" xr:uid="{F0FC6992-0D01-4E72-B6CC-2E81E763A09B}"/>
    <cellStyle name="Percent 103" xfId="3231" xr:uid="{6BBF0BC0-7FD8-4D0E-B1EE-297C0B7DAAE7}"/>
    <cellStyle name="Percent 104" xfId="3232" xr:uid="{0EF52901-330B-44F4-AC34-33D4C5EE3486}"/>
    <cellStyle name="Percent 105" xfId="3233" xr:uid="{12C5E70F-2C90-4E82-B2B4-E82BACEBF2B9}"/>
    <cellStyle name="Percent 106" xfId="3234" xr:uid="{A1F124F8-AAE3-4FDB-B4CF-77E96BBB302C}"/>
    <cellStyle name="Percent 107" xfId="3235" xr:uid="{111C77FE-1402-4295-8D52-323857788145}"/>
    <cellStyle name="Percent 108" xfId="3236" xr:uid="{539024A6-2345-4885-9416-622C1E4E54D8}"/>
    <cellStyle name="Percent 109" xfId="3237" xr:uid="{A0C56A5F-5DE4-449E-8696-5A45C6F4F74A}"/>
    <cellStyle name="Percent 11" xfId="939" xr:uid="{7AE6E81E-F411-42C0-A1D6-589223235D82}"/>
    <cellStyle name="Percent 11 2" xfId="3239" xr:uid="{19AA4F10-FC6C-4042-B268-08A13CF57D6B}"/>
    <cellStyle name="Percent 11 2 2" xfId="4034" xr:uid="{582CEB77-F3DF-46CD-9290-983527A8425F}"/>
    <cellStyle name="Percent 11 3" xfId="3240" xr:uid="{8F119FEA-2342-4872-AE3A-8A4F090A5237}"/>
    <cellStyle name="Percent 11 4" xfId="3238" xr:uid="{10F4F5C6-49A1-463B-B449-1A91F4AFD98D}"/>
    <cellStyle name="Percent 110" xfId="3241" xr:uid="{0D35F749-FBB8-4999-82FC-010E958045BD}"/>
    <cellStyle name="Percent 111" xfId="3242" xr:uid="{2370E6BF-0F0D-4346-AFC4-BF17DA157C2D}"/>
    <cellStyle name="Percent 112" xfId="3243" xr:uid="{FE54AE75-5CB8-4EFB-8EB5-7EE9EADB4A9E}"/>
    <cellStyle name="Percent 113" xfId="3244" xr:uid="{022DD281-8685-43F3-89B3-7FE0B5AFEEC4}"/>
    <cellStyle name="Percent 114" xfId="3245" xr:uid="{15C36501-D55E-41B4-8481-68A538FD584A}"/>
    <cellStyle name="Percent 115" xfId="3246" xr:uid="{264C0B0C-9617-4013-9730-84DDE7041872}"/>
    <cellStyle name="Percent 116" xfId="3247" xr:uid="{E7ECAE7F-DCF2-4F28-AB30-01BE187EE310}"/>
    <cellStyle name="Percent 117" xfId="3248" xr:uid="{7A4C3285-3275-4767-80AF-010592C8B855}"/>
    <cellStyle name="Percent 118" xfId="3249" xr:uid="{8788F9C1-EAFF-4054-AA30-1292EC52CEDC}"/>
    <cellStyle name="Percent 118 2" xfId="4035" xr:uid="{24159B1F-D507-4794-B586-E19E9AD4D2B8}"/>
    <cellStyle name="Percent 119" xfId="3250" xr:uid="{8678D70A-0D38-48C9-A1FD-B5B71641C7FC}"/>
    <cellStyle name="Percent 119 2" xfId="4036" xr:uid="{8A569F7E-5551-4643-B72E-FCA729BE2D4E}"/>
    <cellStyle name="Percent 12" xfId="1017" xr:uid="{13BBC6A7-4A41-4785-B24C-CEC1AD4782DA}"/>
    <cellStyle name="Percent 12 2" xfId="3252" xr:uid="{411AAB77-81A3-4992-BA7B-B6AE0D694553}"/>
    <cellStyle name="Percent 12 2 2" xfId="4037" xr:uid="{F95260F1-B453-4A2D-AE4A-1DD948BA329C}"/>
    <cellStyle name="Percent 12 3" xfId="3253" xr:uid="{54B9D5A9-1C98-4403-A5B8-E98998C8AAA5}"/>
    <cellStyle name="Percent 12 4" xfId="3251" xr:uid="{1147EAB3-8648-4912-96CB-95FCC00BF096}"/>
    <cellStyle name="Percent 120" xfId="3254" xr:uid="{DE1CF325-0C4F-4C9A-AD20-E916EBE5550A}"/>
    <cellStyle name="Percent 121" xfId="3255" xr:uid="{E7E1925F-03AC-4A49-BBBD-3E21C7CA467B}"/>
    <cellStyle name="Percent 122" xfId="3256" xr:uid="{D4C48AC7-2255-4080-A849-90B392B1D827}"/>
    <cellStyle name="Percent 123" xfId="3257" xr:uid="{4E324933-AEAB-412B-A13E-46AE9959167D}"/>
    <cellStyle name="Percent 124" xfId="3258" xr:uid="{6D54A5BD-F3A6-471F-B012-A414F47563E7}"/>
    <cellStyle name="Percent 125" xfId="3259" xr:uid="{F72D2AF8-E19D-48F7-BEC3-919951DE7895}"/>
    <cellStyle name="Percent 126" xfId="3260" xr:uid="{4D6F8D38-C826-4CC1-8B01-60DE86DAD6E2}"/>
    <cellStyle name="Percent 127" xfId="3261" xr:uid="{CE66A73C-A81C-4071-B0CD-BC18A38A8C10}"/>
    <cellStyle name="Percent 128" xfId="3262" xr:uid="{ECA897D8-A7CF-4849-8C68-76AC22D46BAD}"/>
    <cellStyle name="Percent 129" xfId="4032" xr:uid="{22B78185-5E9E-4109-8BD4-65429EFBA7B7}"/>
    <cellStyle name="Percent 13" xfId="1001" xr:uid="{11B89A78-EBF2-4925-A9DD-72416425FF84}"/>
    <cellStyle name="Percent 13 2" xfId="3264" xr:uid="{6DAA131A-F45F-4F29-9211-A9B9A51AFB99}"/>
    <cellStyle name="Percent 13 2 2" xfId="4038" xr:uid="{1C71872E-6C4F-4E37-A0D7-0DF6A4E67F84}"/>
    <cellStyle name="Percent 13 3" xfId="3265" xr:uid="{A229B7F1-3931-46AE-BA1D-6492C35D285B}"/>
    <cellStyle name="Percent 13 4" xfId="3263" xr:uid="{C4E4E245-6C14-4551-B65C-E7089C131A80}"/>
    <cellStyle name="Percent 130" xfId="4062" xr:uid="{2BC6EEF6-E131-4748-9ECA-03FAAFD20A0B}"/>
    <cellStyle name="Percent 131" xfId="4027" xr:uid="{1D55A581-DF9D-41FF-9FB0-B3B68A68866A}"/>
    <cellStyle name="Percent 132" xfId="4061" xr:uid="{4C9F0B91-EAEA-438A-86C9-A604E5E3EDEE}"/>
    <cellStyle name="Percent 133" xfId="3220" xr:uid="{69056654-80EF-40E4-A89D-B36D4C96D904}"/>
    <cellStyle name="Percent 14" xfId="1005" xr:uid="{315724E4-062B-4765-9C10-C07216F846DA}"/>
    <cellStyle name="Percent 14 2" xfId="3267" xr:uid="{C0866961-18CD-4519-A984-7AEBD23915C2}"/>
    <cellStyle name="Percent 14 2 2" xfId="4039" xr:uid="{2F7E8AE7-88B2-4E67-B470-50C35058A95B}"/>
    <cellStyle name="Percent 14 3" xfId="3268" xr:uid="{D42AC56B-2243-4C66-A943-AC730BAB2465}"/>
    <cellStyle name="Percent 14 4" xfId="3266" xr:uid="{81B344A7-EFF4-4D5C-AA09-CA1A94250BEC}"/>
    <cellStyle name="Percent 15" xfId="994" xr:uid="{7DB09506-9926-4C30-A23C-6154A44DC063}"/>
    <cellStyle name="Percent 15 2" xfId="3270" xr:uid="{D00EB499-97B9-408D-9FB6-430FC8A0BC06}"/>
    <cellStyle name="Percent 15 2 2" xfId="4040" xr:uid="{D27CFD29-8902-487F-9832-6326E3692EC4}"/>
    <cellStyle name="Percent 15 3" xfId="3271" xr:uid="{27EE563B-C834-423C-BA1F-526E6150F642}"/>
    <cellStyle name="Percent 15 4" xfId="3269" xr:uid="{9C60C1BD-2439-4712-8D25-9B32D3347719}"/>
    <cellStyle name="Percent 16" xfId="1490" xr:uid="{C4D6394C-3D02-4661-9E8C-77AA478929E7}"/>
    <cellStyle name="Percent 16 2" xfId="3273" xr:uid="{D5A55DDE-BD22-449A-8C90-176A5863D070}"/>
    <cellStyle name="Percent 16 2 2" xfId="4041" xr:uid="{86164D51-BC78-42A3-8BBE-5A01BE37CD61}"/>
    <cellStyle name="Percent 16 3" xfId="3274" xr:uid="{58FC70D6-9A9F-4C38-9ECA-C0B0FB27C01A}"/>
    <cellStyle name="Percent 16 4" xfId="3272" xr:uid="{1B3003C4-2A5C-46F1-A9DC-364C57650085}"/>
    <cellStyle name="Percent 17" xfId="1010" xr:uid="{1F9FB357-76B2-48C6-9E1F-444336BFB2C0}"/>
    <cellStyle name="Percent 17 2" xfId="3276" xr:uid="{9858620E-FFED-42D1-AFDF-0C8182B5241B}"/>
    <cellStyle name="Percent 17 2 2" xfId="4042" xr:uid="{B2522E4F-D31A-495F-BBBA-CB99FEB55A09}"/>
    <cellStyle name="Percent 17 3" xfId="3277" xr:uid="{B7F88706-C35E-4CEF-83C0-748DB3B174F5}"/>
    <cellStyle name="Percent 17 4" xfId="3275" xr:uid="{614D31F7-D537-4CBD-8FBB-8C236B6B3F84}"/>
    <cellStyle name="Percent 18" xfId="1019" xr:uid="{276BE303-10C9-4C7C-AD95-CCB0C7BDCA45}"/>
    <cellStyle name="Percent 18 2" xfId="3279" xr:uid="{CDF94843-98F0-4CFE-B889-2606A0AAEA79}"/>
    <cellStyle name="Percent 18 2 2" xfId="4043" xr:uid="{F3BD6356-FAFA-4BE4-B018-624BF4C02C36}"/>
    <cellStyle name="Percent 18 3" xfId="3280" xr:uid="{A1447DF5-04B9-48F5-AEF7-AFF8D6F9B8A3}"/>
    <cellStyle name="Percent 18 4" xfId="3278" xr:uid="{9853A447-1558-48B8-8B88-90A6198B3E40}"/>
    <cellStyle name="Percent 19" xfId="996" xr:uid="{5CEBFF43-1967-4B66-A658-E098DB32EC52}"/>
    <cellStyle name="Percent 19 2" xfId="3282" xr:uid="{CBBCA5CA-932F-44BD-B4A1-BB460BD3C698}"/>
    <cellStyle name="Percent 19 2 2" xfId="4044" xr:uid="{8DB2613F-7757-44A0-B292-71FA19FF6D6F}"/>
    <cellStyle name="Percent 19 3" xfId="3283" xr:uid="{9CB3472B-13C5-415F-BEBC-F0ED774E5C61}"/>
    <cellStyle name="Percent 19 4" xfId="3281" xr:uid="{3E4213F4-D437-4B87-A628-180BE4BE7EE4}"/>
    <cellStyle name="Percent 2" xfId="85" xr:uid="{00000000-0005-0000-0000-000059000000}"/>
    <cellStyle name="Percent 2 2" xfId="710" xr:uid="{5F566A33-788D-4491-BA80-85773E6ABBA7}"/>
    <cellStyle name="Percent 2 2 2" xfId="722" xr:uid="{BDD03D9D-A05C-45DE-B7D8-9F969CC45511}"/>
    <cellStyle name="Percent 2 2 2 2" xfId="759" xr:uid="{7D0A15BA-9EB9-4B73-89D5-75F2F55338A9}"/>
    <cellStyle name="Percent 2 2 2 2 2" xfId="914" xr:uid="{99B3F488-4664-4E01-BFAB-C0FABD9C30A8}"/>
    <cellStyle name="Percent 2 2 2 2 2 2" xfId="1245" xr:uid="{41688BAB-4B30-4E89-969D-FD0B5B4D6AEB}"/>
    <cellStyle name="Percent 2 2 2 2 2 2 2" xfId="1478" xr:uid="{AAD5EAEB-A357-42D6-86FB-6D478523F5C3}"/>
    <cellStyle name="Percent 2 2 2 2 2 3" xfId="1362" xr:uid="{0FB9F9BB-5D75-4020-82D7-2C4364DA421F}"/>
    <cellStyle name="Percent 2 2 2 2 2 4" xfId="1126" xr:uid="{EF1AA621-7718-46D6-AC53-D2FB3F60416D}"/>
    <cellStyle name="Percent 2 2 2 2 3" xfId="984" xr:uid="{B1F05F6C-B390-40EA-B343-C566D8DD604C}"/>
    <cellStyle name="Percent 2 2 2 2 3 2" xfId="1422" xr:uid="{BBD119E7-0FC4-4E68-B34A-A90D652EEE0C}"/>
    <cellStyle name="Percent 2 2 2 2 3 3" xfId="1189" xr:uid="{6C317745-1C34-4BBA-82D2-4F24D0D8C069}"/>
    <cellStyle name="Percent 2 2 2 2 4" xfId="1306" xr:uid="{8A14BC25-43A7-47D0-8C1C-78F2081802AB}"/>
    <cellStyle name="Percent 2 2 2 2 5" xfId="1069" xr:uid="{CB0CE082-3FD8-4C7A-BC45-D657324A4C73}"/>
    <cellStyle name="Percent 2 2 2 3" xfId="881" xr:uid="{79E3FAC0-D3ED-4B7C-8C40-AAF91A32B3F2}"/>
    <cellStyle name="Percent 2 2 2 3 2" xfId="1215" xr:uid="{16D41656-864B-4625-85C3-899CC98BD310}"/>
    <cellStyle name="Percent 2 2 2 3 2 2" xfId="1448" xr:uid="{E1453BE3-5FF1-4B5C-887E-F8C2872DC576}"/>
    <cellStyle name="Percent 2 2 2 3 3" xfId="1332" xr:uid="{C36D18BC-0C1A-4676-B3D9-8FEFF81F12E3}"/>
    <cellStyle name="Percent 2 2 2 3 4" xfId="1096" xr:uid="{E9D05171-8549-4045-95DE-D2677DB08E9D}"/>
    <cellStyle name="Percent 2 2 2 4" xfId="954" xr:uid="{2BC70880-FB56-4C6D-B3C1-D1D222A4FF4B}"/>
    <cellStyle name="Percent 2 2 2 4 2" xfId="1396" xr:uid="{DE582128-E9D5-4F43-923A-E3CD7F05F6D4}"/>
    <cellStyle name="Percent 2 2 2 4 3" xfId="1163" xr:uid="{FFC31374-59B4-461A-B16A-6A38C5AF4DCB}"/>
    <cellStyle name="Percent 2 2 2 5" xfId="1280" xr:uid="{BDB68D74-C350-4EDC-A83C-9006A8FA1F85}"/>
    <cellStyle name="Percent 2 2 2 6" xfId="1043" xr:uid="{F79B9E8B-24CA-419A-A2E1-D4C5134BA55B}"/>
    <cellStyle name="Percent 2 2 2 7" xfId="3285" xr:uid="{1D4ED3FE-28EB-424B-A9DA-F5881E02C7CF}"/>
    <cellStyle name="Percent 2 2 3" xfId="730" xr:uid="{F32A737C-2306-44ED-9157-B3D163846A14}"/>
    <cellStyle name="Percent 2 2 3 2" xfId="767" xr:uid="{E657F6D9-E0AA-4D8B-92C4-EABED89B476E}"/>
    <cellStyle name="Percent 2 2 3 2 2" xfId="922" xr:uid="{BC6D34E9-33EF-433C-902A-20A87DE028F5}"/>
    <cellStyle name="Percent 2 2 3 2 2 2" xfId="1253" xr:uid="{DC2D2E41-3FC5-4180-B6BA-4B927EA723B8}"/>
    <cellStyle name="Percent 2 2 3 2 2 2 2" xfId="1486" xr:uid="{4B7EA963-8402-4E59-8139-012705EA26BE}"/>
    <cellStyle name="Percent 2 2 3 2 2 3" xfId="1370" xr:uid="{A1B37527-05B3-46E3-A0A4-DAC5ABBF2FBF}"/>
    <cellStyle name="Percent 2 2 3 2 2 4" xfId="1134" xr:uid="{77B232BD-EF62-4D0A-B9C3-B0DF78598044}"/>
    <cellStyle name="Percent 2 2 3 2 3" xfId="992" xr:uid="{B690CDB8-EDC9-44D9-8D4E-39F1E9A35023}"/>
    <cellStyle name="Percent 2 2 3 2 3 2" xfId="1430" xr:uid="{08EEE802-44F5-4F43-96F8-92A9476EE4D6}"/>
    <cellStyle name="Percent 2 2 3 2 3 3" xfId="1197" xr:uid="{5C1C04E1-7084-4333-910C-D20285CC2BE5}"/>
    <cellStyle name="Percent 2 2 3 2 4" xfId="1314" xr:uid="{D823029D-21EE-41FC-B92C-38976A279C31}"/>
    <cellStyle name="Percent 2 2 3 2 5" xfId="1077" xr:uid="{955D8B21-0F5E-4361-8715-390646E07FE5}"/>
    <cellStyle name="Percent 2 2 3 3" xfId="889" xr:uid="{9EF5348F-4454-449B-89AE-C2C15C4F53A9}"/>
    <cellStyle name="Percent 2 2 3 3 2" xfId="1223" xr:uid="{558A92A8-DE44-42E9-911A-14AA6455D021}"/>
    <cellStyle name="Percent 2 2 3 3 2 2" xfId="1456" xr:uid="{B97C0724-5A35-409F-846A-809D6DF8C35E}"/>
    <cellStyle name="Percent 2 2 3 3 3" xfId="1340" xr:uid="{DC1F1817-3C6B-4CEC-A655-7E63A634A07D}"/>
    <cellStyle name="Percent 2 2 3 3 4" xfId="1104" xr:uid="{D1860A29-6BD6-451F-A9B3-CEF347F16220}"/>
    <cellStyle name="Percent 2 2 3 4" xfId="962" xr:uid="{95D78603-66E8-4024-A783-3BEEEFD9FEC0}"/>
    <cellStyle name="Percent 2 2 3 4 2" xfId="1404" xr:uid="{3EAB58BA-5BA4-44A8-B4EE-E6301138CFFF}"/>
    <cellStyle name="Percent 2 2 3 4 3" xfId="1171" xr:uid="{F500D14E-AF25-4979-8E0F-8A6D777664FF}"/>
    <cellStyle name="Percent 2 2 3 5" xfId="1288" xr:uid="{6B444173-8074-4761-BC65-0A84B7BA2D3D}"/>
    <cellStyle name="Percent 2 2 3 6" xfId="1051" xr:uid="{61119096-C3F9-47C9-872A-BABE34AA5001}"/>
    <cellStyle name="Percent 2 2 3 7" xfId="3286" xr:uid="{4618027D-2D5B-42E9-9281-31F55A37D13B}"/>
    <cellStyle name="Percent 2 2 4" xfId="751" xr:uid="{67C08EE6-CC85-474D-9333-46CD53D7D965}"/>
    <cellStyle name="Percent 2 2 4 2" xfId="906" xr:uid="{78D525A1-AB0A-4D6B-A580-B5C2B6A2642F}"/>
    <cellStyle name="Percent 2 2 4 2 2" xfId="1237" xr:uid="{AD0C68EA-2396-4546-802F-535480E3F6A7}"/>
    <cellStyle name="Percent 2 2 4 2 2 2" xfId="1470" xr:uid="{E39EABB1-29B7-43EA-ABBE-7A912A3DA402}"/>
    <cellStyle name="Percent 2 2 4 2 3" xfId="1354" xr:uid="{7EF0AEBC-96D9-464F-91AE-11582A21A53C}"/>
    <cellStyle name="Percent 2 2 4 2 4" xfId="1118" xr:uid="{FEA682B3-D045-43DA-8BE3-B1C208A16ED9}"/>
    <cellStyle name="Percent 2 2 4 3" xfId="976" xr:uid="{E82A8719-362B-4533-8AE7-243A3A10BCEB}"/>
    <cellStyle name="Percent 2 2 4 3 2" xfId="1414" xr:uid="{0D65EABF-9039-4F52-AAD7-86DA9F5E03E7}"/>
    <cellStyle name="Percent 2 2 4 3 3" xfId="1181" xr:uid="{2027761D-7285-42B4-8E52-FD7608B4230C}"/>
    <cellStyle name="Percent 2 2 4 4" xfId="1298" xr:uid="{3B1A5A77-BF21-48C5-B3F7-88AFD7439F34}"/>
    <cellStyle name="Percent 2 2 4 5" xfId="1061" xr:uid="{9C590336-6991-43C1-88EC-9D1707BC96EC}"/>
    <cellStyle name="Percent 2 2 5" xfId="873" xr:uid="{67F12982-8CCE-43D4-8570-78EB238B02D4}"/>
    <cellStyle name="Percent 2 2 5 2" xfId="1207" xr:uid="{24FBBF85-8E4B-4274-9838-CE4688F9E7F0}"/>
    <cellStyle name="Percent 2 2 5 2 2" xfId="1440" xr:uid="{1B8C678E-AC22-4A1F-B582-54F3A8909F73}"/>
    <cellStyle name="Percent 2 2 5 3" xfId="1324" xr:uid="{DCC78229-2BE3-40E8-84E4-1CBCF46CBB87}"/>
    <cellStyle name="Percent 2 2 5 4" xfId="1088" xr:uid="{CCBEFCB9-7912-450F-A502-47923A3928A2}"/>
    <cellStyle name="Percent 2 2 6" xfId="946" xr:uid="{9C4479DA-E787-427F-85A9-A4F58C5AAED7}"/>
    <cellStyle name="Percent 2 2 6 2" xfId="1388" xr:uid="{0668FD38-92E8-479D-86DA-C347453AA5FC}"/>
    <cellStyle name="Percent 2 2 6 3" xfId="1155" xr:uid="{C3634280-881D-4D54-AFF1-030BE9D03180}"/>
    <cellStyle name="Percent 2 2 7" xfId="1272" xr:uid="{EDC9D8FF-2B90-40E7-A280-8190504072A1}"/>
    <cellStyle name="Percent 2 2 8" xfId="1035" xr:uid="{F1CC9E9A-C24E-4D2A-AF01-744365E7B526}"/>
    <cellStyle name="Percent 2 2 9" xfId="3284" xr:uid="{F94258B5-51B8-4F77-BE3D-C0F6670D60AA}"/>
    <cellStyle name="Percent 2 3" xfId="715" xr:uid="{957618BB-BB17-4599-B407-40F2504A0070}"/>
    <cellStyle name="Percent 2 3 2" xfId="723" xr:uid="{C334603A-CB93-4693-802B-1C5DE4FBA56B}"/>
    <cellStyle name="Percent 2 3 2 2" xfId="760" xr:uid="{3D0EB092-A6B4-4128-AF1C-12541BBD9A4F}"/>
    <cellStyle name="Percent 2 3 2 2 2" xfId="915" xr:uid="{3F02A74B-E453-40FC-9FB3-EC91A9EC293C}"/>
    <cellStyle name="Percent 2 3 2 2 2 2" xfId="1246" xr:uid="{ADE6962A-0F5E-4A0E-8526-21507C0C1CE2}"/>
    <cellStyle name="Percent 2 3 2 2 2 2 2" xfId="1479" xr:uid="{20AC5FD3-EE33-4452-B98E-610C5F113420}"/>
    <cellStyle name="Percent 2 3 2 2 2 3" xfId="1363" xr:uid="{8D03E115-34CE-4D64-93FD-487BF1B13253}"/>
    <cellStyle name="Percent 2 3 2 2 2 4" xfId="1127" xr:uid="{2FDBD90E-2E53-432D-97D4-96D689759883}"/>
    <cellStyle name="Percent 2 3 2 2 3" xfId="985" xr:uid="{BB0FB4EE-AE37-4CB9-B3E3-60A6A3E7CA87}"/>
    <cellStyle name="Percent 2 3 2 2 3 2" xfId="1423" xr:uid="{F64ED0DD-0205-438D-B588-ECE37A6A79A6}"/>
    <cellStyle name="Percent 2 3 2 2 3 3" xfId="1190" xr:uid="{45DA7050-7CA6-4E37-883F-A7FA850BCBAA}"/>
    <cellStyle name="Percent 2 3 2 2 4" xfId="1307" xr:uid="{85CC6D77-C8BF-4997-856A-36C792984BC9}"/>
    <cellStyle name="Percent 2 3 2 2 5" xfId="1070" xr:uid="{01CD960F-60E3-4B38-A068-DBECC530CCCB}"/>
    <cellStyle name="Percent 2 3 2 2 6" xfId="4045" xr:uid="{90434B83-3AF3-4CC7-A5DB-5D412721197F}"/>
    <cellStyle name="Percent 2 3 2 3" xfId="882" xr:uid="{1A56FA07-B24A-4458-ABB7-6A359A1EDDCC}"/>
    <cellStyle name="Percent 2 3 2 3 2" xfId="1216" xr:uid="{9B1E6F73-4710-4375-BD5A-EFF527D46207}"/>
    <cellStyle name="Percent 2 3 2 3 2 2" xfId="1449" xr:uid="{505B5699-6BE1-4703-A3B8-85EACD8AC3DF}"/>
    <cellStyle name="Percent 2 3 2 3 3" xfId="1333" xr:uid="{47773169-E417-4DD5-BE8E-B367EAAC66B7}"/>
    <cellStyle name="Percent 2 3 2 3 4" xfId="1097" xr:uid="{2F36AFF0-A868-453E-9820-59363BF4605B}"/>
    <cellStyle name="Percent 2 3 2 4" xfId="955" xr:uid="{85BACFE1-8D9D-4C9D-B21D-8006B00DF0A3}"/>
    <cellStyle name="Percent 2 3 2 4 2" xfId="1397" xr:uid="{DA623913-9CF7-4071-A1B8-267A5DDBF6F8}"/>
    <cellStyle name="Percent 2 3 2 4 3" xfId="1164" xr:uid="{C90ECF37-3C70-4B50-A8A5-16B86102142B}"/>
    <cellStyle name="Percent 2 3 2 5" xfId="1281" xr:uid="{7801F8DD-CD8B-4ECF-AEE1-D2B6A7D3CE61}"/>
    <cellStyle name="Percent 2 3 2 6" xfId="1044" xr:uid="{25644436-848F-4D06-8082-AC8096CEBBAB}"/>
    <cellStyle name="Percent 2 3 2 7" xfId="3288" xr:uid="{3B275C6E-D372-495A-8C1F-0B9D60C77DAE}"/>
    <cellStyle name="Percent 2 3 3" xfId="731" xr:uid="{8B53BB45-03F5-45F9-8DFF-41A7D01DF75F}"/>
    <cellStyle name="Percent 2 3 3 2" xfId="768" xr:uid="{B1C85827-EF7C-42A2-9763-9802B30DD390}"/>
    <cellStyle name="Percent 2 3 3 2 2" xfId="923" xr:uid="{484E0AE3-8EB5-4742-9CE6-D005770C2BEC}"/>
    <cellStyle name="Percent 2 3 3 2 2 2" xfId="1254" xr:uid="{5DB3A0DD-8A14-4585-A864-C6B49B4357DE}"/>
    <cellStyle name="Percent 2 3 3 2 2 2 2" xfId="1487" xr:uid="{2865ADB8-6236-479C-B012-F90D868943BE}"/>
    <cellStyle name="Percent 2 3 3 2 2 3" xfId="1371" xr:uid="{D30FF093-2737-41F8-8E8F-A19BC2F3774D}"/>
    <cellStyle name="Percent 2 3 3 2 2 4" xfId="1135" xr:uid="{CFAE250A-5ACB-45AE-800B-4ECD631A2251}"/>
    <cellStyle name="Percent 2 3 3 2 3" xfId="993" xr:uid="{1D9A29FE-9C6E-46DC-9A77-B89E3F3CBDAB}"/>
    <cellStyle name="Percent 2 3 3 2 3 2" xfId="1431" xr:uid="{010D03B1-4B47-44DA-A3AE-EB8FDDD30EC5}"/>
    <cellStyle name="Percent 2 3 3 2 3 3" xfId="1198" xr:uid="{41DCA3EF-8577-4C49-953F-C059C10267E5}"/>
    <cellStyle name="Percent 2 3 3 2 4" xfId="1315" xr:uid="{F63763CF-C887-48B4-A431-E5E833571B72}"/>
    <cellStyle name="Percent 2 3 3 2 5" xfId="1078" xr:uid="{748DDF15-5AF1-41A0-9367-3E4D45F8D759}"/>
    <cellStyle name="Percent 2 3 3 3" xfId="890" xr:uid="{1AB42011-F939-4163-8F76-49C89E7DB62C}"/>
    <cellStyle name="Percent 2 3 3 3 2" xfId="1224" xr:uid="{C677F1C4-0F2E-4219-8507-AB3DF04B2F87}"/>
    <cellStyle name="Percent 2 3 3 3 2 2" xfId="1457" xr:uid="{DCF1D279-FD00-4A7A-B071-A76E8D35B2AE}"/>
    <cellStyle name="Percent 2 3 3 3 3" xfId="1341" xr:uid="{4972E8A8-9A4C-4A17-BD8A-4949B375C5C0}"/>
    <cellStyle name="Percent 2 3 3 3 4" xfId="1105" xr:uid="{165CE284-A2FC-49C7-B2B5-59C4B3A90D7E}"/>
    <cellStyle name="Percent 2 3 3 4" xfId="963" xr:uid="{D211CE6A-38EE-4318-B1FA-11236953FD93}"/>
    <cellStyle name="Percent 2 3 3 4 2" xfId="1405" xr:uid="{1F8B2815-722A-4306-8EA5-152EC4C53F99}"/>
    <cellStyle name="Percent 2 3 3 4 3" xfId="1172" xr:uid="{9A17229A-0A23-42FB-A386-6025C0AF1AA0}"/>
    <cellStyle name="Percent 2 3 3 5" xfId="1289" xr:uid="{B69FA835-8DA6-4470-B8B5-4F2EC6C92574}"/>
    <cellStyle name="Percent 2 3 3 6" xfId="1052" xr:uid="{4229D542-344F-4FED-9745-1DCB82C2A25B}"/>
    <cellStyle name="Percent 2 3 4" xfId="752" xr:uid="{A06D54FA-1BE7-4EC7-A4CE-2E5ED86DC7F8}"/>
    <cellStyle name="Percent 2 3 4 2" xfId="907" xr:uid="{C9A63241-03B1-4A5F-B3A3-82EAB8F1E8B6}"/>
    <cellStyle name="Percent 2 3 4 2 2" xfId="1238" xr:uid="{06666921-8819-4BAD-BB2E-C28B6D172465}"/>
    <cellStyle name="Percent 2 3 4 2 2 2" xfId="1471" xr:uid="{75245791-C09F-4E64-90AF-4CC00FEAC8C5}"/>
    <cellStyle name="Percent 2 3 4 2 3" xfId="1355" xr:uid="{1753C37D-B412-4B6E-89EA-CA9A85CB8A9C}"/>
    <cellStyle name="Percent 2 3 4 2 4" xfId="1119" xr:uid="{FA2C178F-FECC-4FF1-B1CF-092C95D56237}"/>
    <cellStyle name="Percent 2 3 4 3" xfId="977" xr:uid="{15CDCB16-6A58-45E5-98A8-0FB701935A23}"/>
    <cellStyle name="Percent 2 3 4 3 2" xfId="1415" xr:uid="{40D3D8C4-31D1-4158-950F-E62F909951EC}"/>
    <cellStyle name="Percent 2 3 4 3 3" xfId="1182" xr:uid="{8BF9878D-6AD9-4640-86F8-6381C4488A5E}"/>
    <cellStyle name="Percent 2 3 4 4" xfId="1299" xr:uid="{EA845108-13B8-4213-8F1E-022A1DFBE373}"/>
    <cellStyle name="Percent 2 3 4 5" xfId="1062" xr:uid="{585185B1-1F12-41A8-8768-5FF189C2F07A}"/>
    <cellStyle name="Percent 2 3 5" xfId="874" xr:uid="{5E82E133-C67A-4986-A03F-CF24947BB3F0}"/>
    <cellStyle name="Percent 2 3 5 2" xfId="1208" xr:uid="{FD1FE9F1-D9B3-4F5A-98AC-8ABCD1A80B0C}"/>
    <cellStyle name="Percent 2 3 5 2 2" xfId="1441" xr:uid="{4382CE8D-E9E4-4259-8E9E-98D00809D4DE}"/>
    <cellStyle name="Percent 2 3 5 3" xfId="1325" xr:uid="{D6D89290-7914-4588-AA44-ED4448B728D9}"/>
    <cellStyle name="Percent 2 3 5 4" xfId="1089" xr:uid="{8F0C975D-EACE-4C08-A195-E228E14156E8}"/>
    <cellStyle name="Percent 2 3 6" xfId="947" xr:uid="{3B956D36-FB19-4557-8C02-9B43DC27B55B}"/>
    <cellStyle name="Percent 2 3 6 2" xfId="1389" xr:uid="{E2417F6D-06E6-4402-A2F3-3C36E3214CEE}"/>
    <cellStyle name="Percent 2 3 6 3" xfId="1156" xr:uid="{BD8B0B01-D36E-4B3B-BCF0-186DC0A359ED}"/>
    <cellStyle name="Percent 2 3 7" xfId="1273" xr:uid="{1E4F2552-9B0C-4E02-AD0B-3FA68BA722F5}"/>
    <cellStyle name="Percent 2 3 8" xfId="1036" xr:uid="{504F4993-2E2D-41CB-A02A-94ACD62B22AD}"/>
    <cellStyle name="Percent 2 3 9" xfId="3287" xr:uid="{A1F1DCAE-EBDC-405D-BB12-CC1F1424DB73}"/>
    <cellStyle name="Percent 2 4" xfId="1491" xr:uid="{63A4295F-CB30-4A18-B766-1E2FF7F4C0D1}"/>
    <cellStyle name="Percent 2 5" xfId="660" xr:uid="{4942AEF8-1E46-4CCB-B071-0521E2369A69}"/>
    <cellStyle name="Percent 2 5 2" xfId="4046" xr:uid="{A5D86CA9-8011-48BA-8C0B-FB67B1D08F7F}"/>
    <cellStyle name="Percent 2 5 3" xfId="3289" xr:uid="{78BFD021-87DB-462C-B0BF-D367199DA1DB}"/>
    <cellStyle name="Percent 2 6" xfId="3290" xr:uid="{91914177-75E8-4C8A-A058-88DB36B318CD}"/>
    <cellStyle name="Percent 20" xfId="995" xr:uid="{88286FDA-7BF1-4A87-994E-478ECAFFCA49}"/>
    <cellStyle name="Percent 20 2" xfId="3292" xr:uid="{226FAFBA-70EF-4143-A48A-D4C80528B56B}"/>
    <cellStyle name="Percent 20 2 2" xfId="4047" xr:uid="{C1BD5C73-511C-4783-8661-B63F08B589D7}"/>
    <cellStyle name="Percent 20 3" xfId="3293" xr:uid="{7E76B0C2-B529-4492-9FC1-CFCCC03B5DA2}"/>
    <cellStyle name="Percent 20 4" xfId="3291" xr:uid="{D6635231-A2C2-45CC-8F7E-26B8DCA4CFD8}"/>
    <cellStyle name="Percent 21" xfId="997" xr:uid="{DF070F17-16A0-4CF6-8DC2-A1F7AEF91A35}"/>
    <cellStyle name="Percent 21 2" xfId="3295" xr:uid="{2DC3DE37-7A59-441B-B67A-515D9F80C5DE}"/>
    <cellStyle name="Percent 21 3" xfId="3294" xr:uid="{B60BA67A-A3BD-4895-874C-0600DA9B64C7}"/>
    <cellStyle name="Percent 22" xfId="1008" xr:uid="{072A6A8E-01B0-4277-9BF1-06FF2876414E}"/>
    <cellStyle name="Percent 22 2" xfId="3297" xr:uid="{10C2BBD6-F4F6-4DDA-ADE2-B55C0EB58B41}"/>
    <cellStyle name="Percent 22 3" xfId="3296" xr:uid="{AB4CC4C4-4677-4AFF-9D66-B0CD8F601C86}"/>
    <cellStyle name="Percent 23" xfId="1492" xr:uid="{59092509-D486-4035-A998-EF1E88800E41}"/>
    <cellStyle name="Percent 23 2" xfId="3299" xr:uid="{A1B6BFFA-65EF-436A-A1CC-EEC5A9BB2E83}"/>
    <cellStyle name="Percent 23 3" xfId="3298" xr:uid="{9DD8EA37-CCE7-4490-8B93-94602B3FEA40}"/>
    <cellStyle name="Percent 24" xfId="1011" xr:uid="{E2BF0BF1-3FF5-4A5B-B1B1-5DE1DD784078}"/>
    <cellStyle name="Percent 24 2" xfId="3301" xr:uid="{4AAB44A6-7D77-40C4-ACFE-2466C4092440}"/>
    <cellStyle name="Percent 24 3" xfId="3300" xr:uid="{1C0DDC02-FBA3-46AA-93D2-2451A7B38D62}"/>
    <cellStyle name="Percent 25" xfId="1494" xr:uid="{0ADD595E-96F4-45BC-9CFA-23D5819380C5}"/>
    <cellStyle name="Percent 25 2" xfId="3303" xr:uid="{8FC6FFFA-E09F-475C-9384-B30117FB5CC8}"/>
    <cellStyle name="Percent 25 3" xfId="3302" xr:uid="{886E21D6-9CF6-4AD6-98FF-A61EA5AD5E4C}"/>
    <cellStyle name="Percent 26" xfId="1021" xr:uid="{152B16FB-9AAC-47DA-BB25-B6E03715D3AB}"/>
    <cellStyle name="Percent 26 2" xfId="3305" xr:uid="{CFBFF4FE-F1CF-4B36-BC0B-D4249CF2E6B3}"/>
    <cellStyle name="Percent 26 3" xfId="3304" xr:uid="{808FE60B-7546-4224-88B3-39E65ABFEAA2}"/>
    <cellStyle name="Percent 27" xfId="998" xr:uid="{B053958A-9854-45B4-932F-35BD075BE6CC}"/>
    <cellStyle name="Percent 27 2" xfId="3307" xr:uid="{8C3171DD-77E2-4829-8B98-B069E5EEC20B}"/>
    <cellStyle name="Percent 27 3" xfId="3306" xr:uid="{C9EBF182-5265-42D5-80AB-7C089A4849CD}"/>
    <cellStyle name="Percent 28" xfId="1007" xr:uid="{CA176766-B462-4A0E-8185-4B333BBC4162}"/>
    <cellStyle name="Percent 28 2" xfId="3309" xr:uid="{4CDD1EDF-78DB-49F9-AA7A-1A3B52133787}"/>
    <cellStyle name="Percent 28 3" xfId="3308" xr:uid="{32BE9B13-A046-4141-8C0D-B65022B8CA5D}"/>
    <cellStyle name="Percent 29" xfId="1496" xr:uid="{E80A7E8B-47C6-4E4B-AF4D-7F99345B9FDD}"/>
    <cellStyle name="Percent 29 2" xfId="3311" xr:uid="{5660F009-1A1C-4C7B-8AD2-2F61ADE2D6F8}"/>
    <cellStyle name="Percent 29 3" xfId="3310" xr:uid="{5FBE4E40-484F-4FCE-8695-EF852F46E23B}"/>
    <cellStyle name="Percent 3" xfId="86" xr:uid="{00000000-0005-0000-0000-00005A000000}"/>
    <cellStyle name="Percent 3 2" xfId="87" xr:uid="{00000000-0005-0000-0000-00005B000000}"/>
    <cellStyle name="Percent 3 2 2" xfId="846" xr:uid="{3040551E-A83F-4526-9243-69DD6D01574C}"/>
    <cellStyle name="Percent 3 2 2 2" xfId="4048" xr:uid="{4E990AB9-5AEA-4728-8F54-5CB153FFE95F}"/>
    <cellStyle name="Percent 3 2 2 3" xfId="3313" xr:uid="{73AB70EB-B086-4749-8EA3-54EB2E9142F5}"/>
    <cellStyle name="Percent 3 2 3" xfId="99" xr:uid="{00000000-0005-0000-0000-00005C000000}"/>
    <cellStyle name="Percent 3 2 3 2" xfId="3314" xr:uid="{73BA7E39-26CC-4147-83A4-DA529911B4EB}"/>
    <cellStyle name="Percent 3 2 4" xfId="711" xr:uid="{CFAB68E3-4DA1-4B36-806A-2EF59B608AF7}"/>
    <cellStyle name="Percent 3 2 5" xfId="3312" xr:uid="{DD200D22-BFC0-49BE-B646-977ECCF55662}"/>
    <cellStyle name="Percent 3 3" xfId="735" xr:uid="{B1055DFC-E471-4EEA-9D50-1A88F26CD4BA}"/>
    <cellStyle name="Percent 3 3 2" xfId="3316" xr:uid="{0C3C26C2-DC15-4FBD-AC9C-4A127343CDE1}"/>
    <cellStyle name="Percent 3 3 2 2" xfId="4049" xr:uid="{4DF4243E-2231-4919-9F64-F8BE20A18514}"/>
    <cellStyle name="Percent 3 3 3" xfId="3315" xr:uid="{C942A3C8-A903-43EF-BDCC-455028F4B8E6}"/>
    <cellStyle name="Percent 3 4" xfId="842" xr:uid="{18429C23-B04A-4925-B20D-809EF7B2CD13}"/>
    <cellStyle name="Percent 3 4 2" xfId="3318" xr:uid="{9CD2A593-D719-42B0-8DAB-B7112F478CEB}"/>
    <cellStyle name="Percent 3 4 3" xfId="3317" xr:uid="{7AE79392-C956-4886-8834-4F6597EE57E9}"/>
    <cellStyle name="Percent 3 5" xfId="661" xr:uid="{4A961E52-7858-4D07-90B6-5933D4465ABC}"/>
    <cellStyle name="Percent 3 6" xfId="3319" xr:uid="{F284BB3A-4EC9-4BF4-A0D4-4C32DCE2B0A9}"/>
    <cellStyle name="Percent 3 6 2" xfId="4050" xr:uid="{8A67F1ED-7F5C-4785-9642-5635EE852A47}"/>
    <cellStyle name="Percent 3 7" xfId="3320" xr:uid="{00875B2E-8BB2-4BC8-8BF9-C90CA7ED2A34}"/>
    <cellStyle name="Percent 30" xfId="1018" xr:uid="{F10D3621-BAA6-4330-8044-79E95329A343}"/>
    <cellStyle name="Percent 30 2" xfId="3322" xr:uid="{B2B7DB1E-7C31-47AF-8E96-E23C9C404561}"/>
    <cellStyle name="Percent 30 3" xfId="3321" xr:uid="{BBA77599-F8B7-481D-9046-F9C8170DC507}"/>
    <cellStyle name="Percent 31" xfId="1020" xr:uid="{3E4921C8-B9E3-47DF-8C3B-46F7F146FFFC}"/>
    <cellStyle name="Percent 31 2" xfId="3324" xr:uid="{2DDC04E1-5390-477F-A942-EFC3F82AED82}"/>
    <cellStyle name="Percent 31 3" xfId="3323" xr:uid="{518DBB1A-CDC5-49B0-B0F1-0DA8270A71DE}"/>
    <cellStyle name="Percent 32" xfId="1009" xr:uid="{9617C96B-923A-46D2-BD6C-665997BF16C1}"/>
    <cellStyle name="Percent 32 2" xfId="3326" xr:uid="{67970CCD-2365-40FF-93FD-688338F3A48D}"/>
    <cellStyle name="Percent 32 3" xfId="3325" xr:uid="{2331179D-356E-42D6-8857-087CD70F5B5F}"/>
    <cellStyle name="Percent 33" xfId="1495" xr:uid="{BDCA4C26-8227-48E4-8115-35D488F4B99B}"/>
    <cellStyle name="Percent 33 2" xfId="3328" xr:uid="{FCB561A8-5FCB-4A70-88F3-BC5D40BA996A}"/>
    <cellStyle name="Percent 33 3" xfId="3327" xr:uid="{F2F71E8C-C212-4BF8-9335-76C601B1CE29}"/>
    <cellStyle name="Percent 34" xfId="1003" xr:uid="{60C11D62-61CC-45E3-9415-54E833E12B30}"/>
    <cellStyle name="Percent 35" xfId="1493" xr:uid="{DC2BAC89-00D5-4A3B-B29A-B39718E8F0C6}"/>
    <cellStyle name="Percent 35 2" xfId="3330" xr:uid="{9BEB7E44-3538-4F70-8A8B-EEA0BBE13564}"/>
    <cellStyle name="Percent 35 3" xfId="3329" xr:uid="{1F5C8F66-7DF1-4F8A-8469-A05C5125A7E7}"/>
    <cellStyle name="Percent 36" xfId="1497" xr:uid="{02F7BAE4-5DEA-494F-9256-E9442B1864E3}"/>
    <cellStyle name="Percent 37" xfId="1499" xr:uid="{C81CE211-9D11-4567-9F40-51E90814147B}"/>
    <cellStyle name="Percent 38" xfId="1501" xr:uid="{68B9045E-FE4E-45DA-8A94-460D0B107C41}"/>
    <cellStyle name="Percent 39" xfId="1503" xr:uid="{BBB9BA4E-CEBE-4741-8055-9095E4630484}"/>
    <cellStyle name="Percent 4" xfId="88" xr:uid="{00000000-0005-0000-0000-00005D000000}"/>
    <cellStyle name="Percent 4 2" xfId="864" xr:uid="{C729B1F8-E543-471E-8920-B5EFAA934FCB}"/>
    <cellStyle name="Percent 4 2 2" xfId="3333" xr:uid="{439A979D-4954-42EC-A148-B7A7F2BB37C2}"/>
    <cellStyle name="Percent 4 2 3" xfId="3332" xr:uid="{9E744ECC-255D-4A73-AA71-066B53F593D1}"/>
    <cellStyle name="Percent 4 3" xfId="712" xr:uid="{55D2CD74-19FC-40BE-B10B-80E3CC32F985}"/>
    <cellStyle name="Percent 4 3 2" xfId="3335" xr:uid="{53707C95-52C7-47CC-849B-C4898C4A0E53}"/>
    <cellStyle name="Percent 4 3 2 2" xfId="4051" xr:uid="{9844C425-C163-4312-8527-EBFE926CC5C3}"/>
    <cellStyle name="Percent 4 3 3" xfId="3336" xr:uid="{41D799C0-0448-473E-BE7F-2368A40C066B}"/>
    <cellStyle name="Percent 4 3 4" xfId="3334" xr:uid="{8EDBF8D3-9D58-4675-8B77-8EE83C866755}"/>
    <cellStyle name="Percent 4 4" xfId="3337" xr:uid="{BB8EBD0E-8439-440D-8EE0-B94C8D809325}"/>
    <cellStyle name="Percent 4 4 2" xfId="3338" xr:uid="{7DA94600-FBF6-4C94-87CE-C6FA5349857C}"/>
    <cellStyle name="Percent 4 4 2 2" xfId="4052" xr:uid="{DE53A40F-D1E9-473E-A1CD-4BA4F057E9C7}"/>
    <cellStyle name="Percent 4 5" xfId="3339" xr:uid="{C7170167-956F-428E-9A39-B88B1DE11513}"/>
    <cellStyle name="Percent 4 6" xfId="3340" xr:uid="{280EB1C1-8F7E-4DC6-A30F-3F56C66E25A8}"/>
    <cellStyle name="Percent 4 6 2" xfId="4053" xr:uid="{DFF4B8FD-D26D-4A72-AC86-BDBD05958EB0}"/>
    <cellStyle name="Percent 4 7" xfId="3331" xr:uid="{BEF9DDCC-2CE7-438B-B15E-0648370363CD}"/>
    <cellStyle name="Percent 40" xfId="1505" xr:uid="{6186B9CC-7DF7-4DE1-B26B-37F54E2FE527}"/>
    <cellStyle name="Percent 41" xfId="1507" xr:uid="{C3FE416F-455E-427D-BF1E-166A567ACECC}"/>
    <cellStyle name="Percent 42" xfId="1509" xr:uid="{17975B7A-5585-4B35-AD6C-A95C737F6F36}"/>
    <cellStyle name="Percent 43" xfId="1511" xr:uid="{ED3CC2E2-376F-4E95-B580-3998411C884D}"/>
    <cellStyle name="Percent 44" xfId="1513" xr:uid="{7E48C945-A29D-45B4-8D15-6B4E5E396A36}"/>
    <cellStyle name="Percent 45" xfId="1515" xr:uid="{8AA11831-538B-4C4C-8842-9B72706654B5}"/>
    <cellStyle name="Percent 46" xfId="1517" xr:uid="{A02A0402-8161-4A49-9DC6-0D06618F876A}"/>
    <cellStyle name="Percent 47" xfId="1519" xr:uid="{A6709786-5F9B-4B09-B051-65D55B309133}"/>
    <cellStyle name="Percent 48" xfId="1521" xr:uid="{23263B67-DA48-4959-A266-D04B85B13A50}"/>
    <cellStyle name="Percent 49" xfId="659" xr:uid="{A9361BA9-887F-4091-9842-A632E38243DD}"/>
    <cellStyle name="Percent 49 2" xfId="3341" xr:uid="{E557877B-9A88-42C2-9C15-E0021E597437}"/>
    <cellStyle name="Percent 5" xfId="89" xr:uid="{00000000-0005-0000-0000-00005E000000}"/>
    <cellStyle name="Percent 5 2" xfId="744" xr:uid="{C51EA53D-BD39-4949-B029-F588B38C9096}"/>
    <cellStyle name="Percent 5 2 2" xfId="3344" xr:uid="{8F5479AA-99D2-4B7D-8700-672DF2AD1B8C}"/>
    <cellStyle name="Percent 5 2 2 2" xfId="4054" xr:uid="{4CD82525-2491-45B9-803F-517AC02896BB}"/>
    <cellStyle name="Percent 5 2 3" xfId="3343" xr:uid="{16D6B481-35E3-4E21-AB05-C6DF385593C5}"/>
    <cellStyle name="Percent 5 3" xfId="3342" xr:uid="{A122B2BA-4A9C-44E0-9213-774920FFCEE7}"/>
    <cellStyle name="Percent 50" xfId="3345" xr:uid="{B34626AE-CCE5-4EFB-8D89-6970F27A56EA}"/>
    <cellStyle name="Percent 51" xfId="3346" xr:uid="{81D95A29-10D0-493A-9582-5F3EA0BB5A04}"/>
    <cellStyle name="Percent 52" xfId="3347" xr:uid="{0C839836-E19B-4033-83E6-0628AD0D7C10}"/>
    <cellStyle name="Percent 53" xfId="3348" xr:uid="{EF6DF6F0-0E5F-4E52-BD86-1DB938AEE03B}"/>
    <cellStyle name="Percent 54" xfId="3349" xr:uid="{FC68274E-CD8D-4703-864D-927DBA3978DB}"/>
    <cellStyle name="Percent 55" xfId="3350" xr:uid="{2E46272D-6967-4B61-AC57-78913847BD31}"/>
    <cellStyle name="Percent 56" xfId="3351" xr:uid="{3E7B5D5F-7596-420A-B913-62588ACA4B0B}"/>
    <cellStyle name="Percent 57" xfId="3352" xr:uid="{88404B34-F6C1-4F69-B20E-6773EABA72D9}"/>
    <cellStyle name="Percent 58" xfId="3353" xr:uid="{FA45F6F9-175B-4A67-955E-1BDF50091CDC}"/>
    <cellStyle name="Percent 59" xfId="3354" xr:uid="{48C6CB43-0068-4C04-812A-E4C06731B34B}"/>
    <cellStyle name="Percent 6" xfId="739" xr:uid="{00E4EDF4-04AE-4A8A-A445-3F1770962B6D}"/>
    <cellStyle name="Percent 6 2" xfId="896" xr:uid="{133A4BC4-9BF1-4B85-9B40-BC456A15AB6C}"/>
    <cellStyle name="Percent 6 2 2" xfId="1461" xr:uid="{E3077FF0-236A-462E-A858-57FA2C3BC860}"/>
    <cellStyle name="Percent 6 2 2 2" xfId="4055" xr:uid="{A4F8114A-8A24-4F10-AC3D-501849C70304}"/>
    <cellStyle name="Percent 6 2 2 3" xfId="3357" xr:uid="{593E6B79-9626-47F8-B7D8-CB364CF52E05}"/>
    <cellStyle name="Percent 6 2 3" xfId="1228" xr:uid="{A7EDCDC1-20D6-435E-870C-68C5F715E7C6}"/>
    <cellStyle name="Percent 6 2 4" xfId="3356" xr:uid="{B7FB4923-D85B-43B7-AE6A-68F5E40BF1F5}"/>
    <cellStyle name="Percent 6 3" xfId="967" xr:uid="{89B06886-1275-4116-8A5C-BAE4447F47F1}"/>
    <cellStyle name="Percent 6 3 2" xfId="1345" xr:uid="{D312287E-6135-4A4E-B1DC-83B1838D1694}"/>
    <cellStyle name="Percent 6 3 2 2" xfId="4056" xr:uid="{4CFE85F2-0DAF-4D0B-9AA8-C426BBD31853}"/>
    <cellStyle name="Percent 6 3 2 3" xfId="3359" xr:uid="{AE2BB7E6-2966-4CD8-BAE1-D8971CDEF555}"/>
    <cellStyle name="Percent 6 3 3" xfId="3358" xr:uid="{A64C3087-7574-4807-80AB-77031826A2C8}"/>
    <cellStyle name="Percent 6 4" xfId="1109" xr:uid="{38ECC924-6877-4C16-8D0F-B18EF5D0A5CC}"/>
    <cellStyle name="Percent 6 4 2" xfId="3361" xr:uid="{C0370AF3-E8AA-4E3C-BD3C-DE1A80E28440}"/>
    <cellStyle name="Percent 6 4 3" xfId="3360" xr:uid="{B5604C4A-E83C-458C-AC8B-288D36D9B846}"/>
    <cellStyle name="Percent 6 5" xfId="3362" xr:uid="{924DFD00-AD5F-4623-A79C-54892C87592E}"/>
    <cellStyle name="Percent 6 5 2" xfId="4057" xr:uid="{74C801E8-BBB2-42C4-865E-2102A1626379}"/>
    <cellStyle name="Percent 6 6" xfId="3355" xr:uid="{2829086F-5A01-40BB-A223-C606B38471DB}"/>
    <cellStyle name="Percent 60" xfId="3363" xr:uid="{3E905F77-F779-46EE-821F-E099D9940BBD}"/>
    <cellStyle name="Percent 61" xfId="3364" xr:uid="{9E0A7D9F-C4C6-4FD1-AF3B-F50DEA79A7B3}"/>
    <cellStyle name="Percent 62" xfId="3365" xr:uid="{5FDF3226-7EFA-4745-A841-31D6C10ED9B5}"/>
    <cellStyle name="Percent 63" xfId="3366" xr:uid="{669A833E-C991-402B-8192-293F03076095}"/>
    <cellStyle name="Percent 64" xfId="3367" xr:uid="{453A0E60-CF40-4682-B8FF-5620B1BC37AF}"/>
    <cellStyle name="Percent 65" xfId="3368" xr:uid="{9290CDF7-B28D-4647-BB9E-0E5CCDEF9A6F}"/>
    <cellStyle name="Percent 66" xfId="3369" xr:uid="{DC2634E0-896C-468A-BCE6-1863AFFB0DCF}"/>
    <cellStyle name="Percent 67" xfId="3370" xr:uid="{245B86A8-0B3C-42B5-8C6F-B3343E878D4E}"/>
    <cellStyle name="Percent 68" xfId="3371" xr:uid="{6CAE3BF3-965E-4308-B87D-2F2D16192819}"/>
    <cellStyle name="Percent 69" xfId="3372" xr:uid="{493A7419-7E4B-44AF-967E-C68BC672942E}"/>
    <cellStyle name="Percent 7" xfId="929" xr:uid="{E3721F02-5F4C-4E9C-9734-E0FFFDC69449}"/>
    <cellStyle name="Percent 7 2" xfId="1142" xr:uid="{06CD519F-2993-4E2E-BEEC-92D8F5DA0F5F}"/>
    <cellStyle name="Percent 7 2 2" xfId="4058" xr:uid="{ABEF1C56-9FC1-423B-A1CB-1F7E306AE3AF}"/>
    <cellStyle name="Percent 7 2 3" xfId="3374" xr:uid="{2F1423E2-4BD9-4F67-9AD6-A6257C12082F}"/>
    <cellStyle name="Percent 7 3" xfId="3375" xr:uid="{56748953-7B03-4D93-A0D8-2EFA4F75EB0D}"/>
    <cellStyle name="Percent 7 4" xfId="3373" xr:uid="{BB66C489-BD76-4DE1-A4D6-C1D07CF98C5A}"/>
    <cellStyle name="Percent 70" xfId="3376" xr:uid="{7EA3F65F-D680-4B68-8608-6C1B5A66FD95}"/>
    <cellStyle name="Percent 71" xfId="3377" xr:uid="{D92312E1-EB43-4398-A724-BB8C4F1A1C1B}"/>
    <cellStyle name="Percent 72" xfId="3378" xr:uid="{3C2FDB30-7D28-43C3-BD5C-50D72E99BD96}"/>
    <cellStyle name="Percent 73" xfId="3379" xr:uid="{23F63AE5-C7B2-48CC-9A33-2C4400BBBF83}"/>
    <cellStyle name="Percent 74" xfId="3380" xr:uid="{256D60DD-1117-405C-B84A-8728AAFD76C9}"/>
    <cellStyle name="Percent 75" xfId="3381" xr:uid="{ABBCE8B2-3D08-4A08-9D84-CB4314F32DBD}"/>
    <cellStyle name="Percent 76" xfId="3382" xr:uid="{593839A7-7852-48D0-9902-A09980CD0EC5}"/>
    <cellStyle name="Percent 77" xfId="3383" xr:uid="{CD19D231-6CA4-44D5-BFA3-7433AD639117}"/>
    <cellStyle name="Percent 78" xfId="3384" xr:uid="{0EA14770-C465-4910-B7C2-7CC2FFAB7985}"/>
    <cellStyle name="Percent 79" xfId="3385" xr:uid="{30E34E9B-9B79-4AA9-81D2-1C68F4A283CA}"/>
    <cellStyle name="Percent 8" xfId="930" xr:uid="{B03B89C8-5F04-4F53-8156-073A14975EDC}"/>
    <cellStyle name="Percent 8 2" xfId="1258" xr:uid="{757B7B4C-F691-4D83-BEE6-CC035DAC7294}"/>
    <cellStyle name="Percent 8 2 2" xfId="4059" xr:uid="{92AAB8DA-9F76-43EF-A201-4BD9045725EB}"/>
    <cellStyle name="Percent 8 2 3" xfId="3387" xr:uid="{3C04C539-DE4E-4036-8997-D13E114EC4A5}"/>
    <cellStyle name="Percent 8 3" xfId="3388" xr:uid="{CF7B55CF-6907-4B14-96BE-C75FAFC3FE10}"/>
    <cellStyle name="Percent 8 4" xfId="3386" xr:uid="{293A5C9A-024C-46D3-B7DF-B1B2C3BE134B}"/>
    <cellStyle name="Percent 80" xfId="3389" xr:uid="{D7278DBC-6131-4025-A0A0-75BF897F3381}"/>
    <cellStyle name="Percent 81" xfId="3390" xr:uid="{34BF536C-5DE3-4E88-905E-6FB03636B4F9}"/>
    <cellStyle name="Percent 82" xfId="3391" xr:uid="{02A61FA2-64B7-4A2F-A2A3-539BE2B2EF26}"/>
    <cellStyle name="Percent 83" xfId="3392" xr:uid="{43FBEBE6-5064-42C5-9BFD-9DB077528E93}"/>
    <cellStyle name="Percent 84" xfId="3393" xr:uid="{5CCEBB32-3F97-4724-B2A1-EEDDBCE4BBC0}"/>
    <cellStyle name="Percent 85" xfId="3394" xr:uid="{A8A37F55-AFBE-4DAF-9E3A-0CC7F542B38A}"/>
    <cellStyle name="Percent 86" xfId="3395" xr:uid="{63933AB6-9078-41BD-A464-AD2AE8CC9288}"/>
    <cellStyle name="Percent 87" xfId="3396" xr:uid="{F78D5DC7-B338-4532-AC37-5AFC5713567E}"/>
    <cellStyle name="Percent 88" xfId="3397" xr:uid="{66B31C86-8A5E-49CE-AFE6-AE1769FEAB48}"/>
    <cellStyle name="Percent 89" xfId="3398" xr:uid="{E95BB977-7E30-4FC7-A4E4-C1363E357937}"/>
    <cellStyle name="Percent 9" xfId="933" xr:uid="{9A749FCD-075B-4097-874D-65B6CE283A39}"/>
    <cellStyle name="Percent 9 2" xfId="3400" xr:uid="{1D8E2420-B1DA-4F51-B78E-B8A14C7ECE13}"/>
    <cellStyle name="Percent 9 2 2" xfId="4060" xr:uid="{E13ACD92-4629-4BD5-8509-6D365C837D19}"/>
    <cellStyle name="Percent 9 3" xfId="3401" xr:uid="{76FD59AA-8FAE-4893-853B-3A883EA24C29}"/>
    <cellStyle name="Percent 9 4" xfId="3399" xr:uid="{506DDBF6-AB70-4374-BBF1-3A6103F63F50}"/>
    <cellStyle name="Percent 90" xfId="3402" xr:uid="{0FA7B433-AFFA-4E07-A1BD-839AF1B80D10}"/>
    <cellStyle name="Percent 91" xfId="3403" xr:uid="{E4B2BD16-5ECD-4782-90D1-3072C605D4C2}"/>
    <cellStyle name="Percent 92" xfId="3404" xr:uid="{32E8D486-AC02-45EF-904E-B5AA0F95999E}"/>
    <cellStyle name="Percent 93" xfId="3405" xr:uid="{AE03E3BA-B5A0-4D61-833C-C5A10E241AEB}"/>
    <cellStyle name="Percent 94" xfId="3406" xr:uid="{D811B13F-A4E9-4A66-A806-8FA16FD07218}"/>
    <cellStyle name="Percent 95" xfId="3407" xr:uid="{885BF83F-23A8-42A8-ADF8-D1A6A83AE41A}"/>
    <cellStyle name="Percent 96" xfId="3408" xr:uid="{5B0ADE98-FBE7-4ED9-B6C5-8E279F30EC82}"/>
    <cellStyle name="Percent 97" xfId="3409" xr:uid="{CB21CC50-D696-4540-85BF-A8E9C9E9E7A6}"/>
    <cellStyle name="Percent 98" xfId="3410" xr:uid="{49118E77-8D54-4CBF-91CF-0CAD5574D22B}"/>
    <cellStyle name="Percent 99" xfId="3411" xr:uid="{B14C1EA1-AEEA-4E96-BCE6-331ED9A183AB}"/>
    <cellStyle name="PSChar" xfId="3412" xr:uid="{6A582459-E111-44B0-AEB5-84E9C4E9AF70}"/>
    <cellStyle name="PSChar 2" xfId="3413" xr:uid="{35C32BA6-BA7C-40C7-B130-DFC7479659CA}"/>
    <cellStyle name="Style 23" xfId="3" xr:uid="{00000000-0005-0000-0000-00005F000000}"/>
    <cellStyle name="Style 23 2" xfId="714" xr:uid="{58BF3198-1938-4CE3-8788-C79370C43328}"/>
    <cellStyle name="Style 23 3" xfId="713" xr:uid="{7D65EC76-69C8-40B7-9320-37CD6834A8FC}"/>
    <cellStyle name="STYLE1" xfId="90" xr:uid="{00000000-0005-0000-0000-000060000000}"/>
    <cellStyle name="STYLE1 2" xfId="3414" xr:uid="{491D9A6A-4812-4D14-A6F0-F9EAEB7CE30E}"/>
    <cellStyle name="STYLE2" xfId="91" xr:uid="{00000000-0005-0000-0000-000061000000}"/>
    <cellStyle name="STYLE2 2" xfId="3415" xr:uid="{16E63BEC-C062-4F22-A2A0-93097C53C5C1}"/>
    <cellStyle name="STYLE3" xfId="3416" xr:uid="{A5FE3E00-4EE1-42DF-B281-90397D1B3627}"/>
    <cellStyle name="STYLE4" xfId="92" xr:uid="{00000000-0005-0000-0000-000062000000}"/>
    <cellStyle name="Subtotal" xfId="93" xr:uid="{00000000-0005-0000-0000-000063000000}"/>
    <cellStyle name="Title 2" xfId="94" xr:uid="{00000000-0005-0000-0000-000064000000}"/>
    <cellStyle name="Title 2 2" xfId="1022" xr:uid="{0CB3792D-C93A-46FD-BA8F-B2566CC7F30E}"/>
    <cellStyle name="Title 2 2 2" xfId="3419" xr:uid="{EABF86F3-D952-41B3-8A81-D6E434ED9378}"/>
    <cellStyle name="Title 2 2 3" xfId="3418" xr:uid="{C48C5DEF-C9C3-48C1-99DE-32C9E7F4A70D}"/>
    <cellStyle name="Title 2 3" xfId="3420" xr:uid="{87078BC4-CC02-4302-8CB2-0BF07BE29D71}"/>
    <cellStyle name="Title 2 3 2" xfId="3421" xr:uid="{E59AD029-C814-4284-B288-1C6A69FF6540}"/>
    <cellStyle name="Title 2 4" xfId="3422" xr:uid="{80E61ACC-0416-449E-AB8F-4FDA530C69D4}"/>
    <cellStyle name="Title 2 5" xfId="3423" xr:uid="{2BA1C68F-F192-46B1-98EF-2EE4E7323BA6}"/>
    <cellStyle name="Title 2 6" xfId="3417" xr:uid="{46416C73-DF60-45B9-85DD-C65E9AB87E10}"/>
    <cellStyle name="Title 3" xfId="793" xr:uid="{00A40A86-F2D4-46E7-BC07-5190D5DAED0C}"/>
    <cellStyle name="Title 3 2" xfId="3425" xr:uid="{B238A3BA-E958-458F-AAB4-0E4264D6E0F1}"/>
    <cellStyle name="Title 3 3" xfId="3424" xr:uid="{38180507-1003-4C6E-9B3C-CCF9DE5709AF}"/>
    <cellStyle name="Title 4" xfId="3426" xr:uid="{BB178215-135C-4E20-A748-608B8D2F3BC7}"/>
    <cellStyle name="Title 5" xfId="3427" xr:uid="{116257BE-EA7D-4871-9631-6C9C8C90AC52}"/>
    <cellStyle name="Title 6" xfId="3428" xr:uid="{6A0B41EF-C3CA-41C3-9422-8E18028DE2AC}"/>
    <cellStyle name="Total 10" xfId="662" xr:uid="{B8C97E61-A9F6-4417-B045-67D836D6A9E9}"/>
    <cellStyle name="Total 10 2" xfId="3429" xr:uid="{A1B3A170-8AA3-401D-87EE-ECCE6AEA094A}"/>
    <cellStyle name="Total 11" xfId="663" xr:uid="{4AFD8423-901D-4C1F-9483-BFF2E575BAF2}"/>
    <cellStyle name="Total 11 2" xfId="3430" xr:uid="{A8D56C22-C83B-4575-B7E8-5893FA97912C}"/>
    <cellStyle name="Total 12" xfId="664" xr:uid="{03F47C12-3FB6-4CC5-8599-93F0CE2E6212}"/>
    <cellStyle name="Total 12 2" xfId="3431" xr:uid="{0F274A5D-177D-4B9F-8F30-1E3A9A577351}"/>
    <cellStyle name="Total 13" xfId="665" xr:uid="{40376B34-1598-432D-849E-19D337D84FAB}"/>
    <cellStyle name="Total 13 2" xfId="3432" xr:uid="{DF23123F-7A5A-479D-9E25-062F3F1FFC0F}"/>
    <cellStyle name="Total 14" xfId="666" xr:uid="{E0EC608F-D44D-4DA9-8508-F7B07A6D62C3}"/>
    <cellStyle name="Total 14 2" xfId="3433" xr:uid="{7037EE81-BA10-427E-8E3C-29BEC4CA2C17}"/>
    <cellStyle name="Total 15" xfId="667" xr:uid="{47B510AC-5742-44FB-8E21-028FBFA1CE2D}"/>
    <cellStyle name="Total 15 2" xfId="3434" xr:uid="{1E287A32-1E8E-41D5-A03E-30924E4BFDDF}"/>
    <cellStyle name="Total 16" xfId="794" xr:uid="{0AD3E2A5-2193-4C63-B928-834750545801}"/>
    <cellStyle name="Total 16 2" xfId="3435" xr:uid="{4633D797-5050-4740-A4EE-AAD715D4CA47}"/>
    <cellStyle name="Total 2" xfId="95" xr:uid="{00000000-0005-0000-0000-000065000000}"/>
    <cellStyle name="Total 2 2" xfId="813" xr:uid="{28FAF2D3-4A09-434B-BD0C-CA27F6C494BC}"/>
    <cellStyle name="Total 2 2 2" xfId="3438" xr:uid="{A938F53B-79D5-4617-826A-E652BBD07B42}"/>
    <cellStyle name="Total 2 2 3" xfId="3437" xr:uid="{BB807F55-21C1-44AF-90D3-D3F6021483EF}"/>
    <cellStyle name="Total 2 3" xfId="668" xr:uid="{EC04D9DC-5173-4E4A-A489-F66F37367CE0}"/>
    <cellStyle name="Total 2 3 2" xfId="3440" xr:uid="{E075A9C2-EEFC-4BDF-A6EB-82DD2D8D0AAE}"/>
    <cellStyle name="Total 2 3 3" xfId="3439" xr:uid="{4973904D-D934-440E-87E1-0E80D46FCEC7}"/>
    <cellStyle name="Total 2 4" xfId="3441" xr:uid="{05A52421-74EB-4331-B611-A5EB7A170CFD}"/>
    <cellStyle name="Total 2 4 2" xfId="3442" xr:uid="{AD9F3FE1-582E-4AED-9AC8-7508952B7536}"/>
    <cellStyle name="Total 2 5" xfId="3443" xr:uid="{B1E187F4-47B5-442E-AB8A-C91FAC37B094}"/>
    <cellStyle name="Total 2 6" xfId="3444" xr:uid="{552CA10F-98FA-4C94-940C-8C00F72DBDFD}"/>
    <cellStyle name="Total 2 7" xfId="3436" xr:uid="{BD785451-C3BC-4B74-80BC-0CF8DF3F3437}"/>
    <cellStyle name="Total 3" xfId="669" xr:uid="{BD127B31-8186-4B6D-8D0E-706E3F42F845}"/>
    <cellStyle name="Total 3 2" xfId="3446" xr:uid="{8E6C3E6C-ACF4-4844-AB60-1F13CE5146A4}"/>
    <cellStyle name="Total 3 3" xfId="3445" xr:uid="{C6A1DF29-3DD5-4FD2-921D-2EC72913BAA0}"/>
    <cellStyle name="Total 4" xfId="670" xr:uid="{A4DD1224-D6AA-40BD-806E-86C4453F2752}"/>
    <cellStyle name="Total 4 2" xfId="3448" xr:uid="{E3D98F0B-ECF1-47A4-A3A3-BCE2A808818D}"/>
    <cellStyle name="Total 4 3" xfId="3449" xr:uid="{EAAB7185-04E0-4F06-836A-4DBBC4D2CB9F}"/>
    <cellStyle name="Total 4 4" xfId="3447" xr:uid="{18E37D2A-4B4C-426A-AAC4-8E7DE9CDFC80}"/>
    <cellStyle name="Total 5" xfId="671" xr:uid="{EAE319E5-2D49-4304-92BB-167E6B681D0C}"/>
    <cellStyle name="Total 5 2" xfId="3450" xr:uid="{DB389614-DBB2-43D4-9D56-BE12192EB1AE}"/>
    <cellStyle name="Total 6" xfId="672" xr:uid="{A15C169C-84D9-47ED-8D17-D0385D36B226}"/>
    <cellStyle name="Total 6 2" xfId="3451" xr:uid="{595BB7F1-67B7-45D5-B733-54E13C025B36}"/>
    <cellStyle name="Total 7" xfId="673" xr:uid="{001D1633-CA86-4CA9-A6F6-68C601CA5879}"/>
    <cellStyle name="Total 7 2" xfId="3452" xr:uid="{95ABBDBB-34CD-4C16-A10B-218E83F0C29D}"/>
    <cellStyle name="Total 8" xfId="674" xr:uid="{218F9980-F3A4-458A-9A94-FAE3D15DAB05}"/>
    <cellStyle name="Total 8 2" xfId="3453" xr:uid="{9776B36E-798D-4926-8A48-950B94905CBE}"/>
    <cellStyle name="Total 9" xfId="675" xr:uid="{B0DC51FE-90E2-46C3-9684-9FBDAA24DFF5}"/>
    <cellStyle name="Total 9 2" xfId="3454" xr:uid="{3A40D67D-7DB0-40F6-91C9-E420DB82281D}"/>
    <cellStyle name="Warning Text" xfId="1532" builtinId="11" customBuiltin="1"/>
    <cellStyle name="Warning Text 10" xfId="676" xr:uid="{9D27EA6C-1766-4A37-B121-CA1B3ECB5E10}"/>
    <cellStyle name="Warning Text 11" xfId="677" xr:uid="{96E5491B-6C27-43BA-8188-BF6514EAF449}"/>
    <cellStyle name="Warning Text 12" xfId="678" xr:uid="{B9487338-0B7E-406F-913B-9087095D8D55}"/>
    <cellStyle name="Warning Text 13" xfId="679" xr:uid="{C4D2BB42-FB9F-4845-8E8F-6C5172FFC117}"/>
    <cellStyle name="Warning Text 14" xfId="680" xr:uid="{61778BEC-7724-4B4C-87C2-D72F67BE4508}"/>
    <cellStyle name="Warning Text 15" xfId="681" xr:uid="{2851631C-9765-4B86-B376-AEA1567F9E81}"/>
    <cellStyle name="Warning Text 16" xfId="795" xr:uid="{733EE28F-3587-4E0F-8BFA-69D5A0401452}"/>
    <cellStyle name="Warning Text 2" xfId="96" xr:uid="{00000000-0005-0000-0000-000066000000}"/>
    <cellStyle name="Warning Text 2 2" xfId="810" xr:uid="{2B837EDB-828B-4983-B609-910661F9A201}"/>
    <cellStyle name="Warning Text 2 2 2" xfId="3457" xr:uid="{6E7D412D-518A-47C4-94F6-A99A582BCF48}"/>
    <cellStyle name="Warning Text 2 2 3" xfId="3456" xr:uid="{D0CE5144-1138-44B5-BC00-CDF74A1F5BF7}"/>
    <cellStyle name="Warning Text 2 3" xfId="682" xr:uid="{5B3BC198-7405-44C4-9AC4-99FF46EBC9BD}"/>
    <cellStyle name="Warning Text 2 3 2" xfId="3459" xr:uid="{55F4D7FE-3F2B-4C6B-ABBD-BC0BA3782524}"/>
    <cellStyle name="Warning Text 2 3 3" xfId="3458" xr:uid="{32818F34-F7F5-4CEC-800E-051B7CA022B2}"/>
    <cellStyle name="Warning Text 2 4" xfId="3460" xr:uid="{B9C18256-40DE-4AF3-A26C-67694924E58F}"/>
    <cellStyle name="Warning Text 2 5" xfId="3461" xr:uid="{F2BD7583-30CC-4A88-9C96-D54A365601E7}"/>
    <cellStyle name="Warning Text 2 6" xfId="3455" xr:uid="{7D2E14F2-C5FA-4431-A7EC-A7B4BF3E40AD}"/>
    <cellStyle name="Warning Text 3" xfId="683" xr:uid="{A5BA6059-1DE1-47EF-A0D4-B76430AED1F7}"/>
    <cellStyle name="Warning Text 3 2" xfId="3463" xr:uid="{5D084670-EB2A-4A74-B658-81683866CE1C}"/>
    <cellStyle name="Warning Text 3 3" xfId="3464" xr:uid="{EB71E6A8-9BC3-43A9-8CF4-DB3654090155}"/>
    <cellStyle name="Warning Text 3 4" xfId="3462" xr:uid="{A5B9BD36-269D-4F8C-808B-DE6F3CAC3E4D}"/>
    <cellStyle name="Warning Text 4" xfId="684" xr:uid="{7F31B44A-BE13-4D1F-85C8-5DFE23E7654B}"/>
    <cellStyle name="Warning Text 4 2" xfId="3466" xr:uid="{45118D12-2B45-4933-B139-0D59B7DB2DF1}"/>
    <cellStyle name="Warning Text 4 3" xfId="3465" xr:uid="{45B1215F-8E44-4A34-BD92-6DF804994684}"/>
    <cellStyle name="Warning Text 5" xfId="685" xr:uid="{968A673C-2DBC-4706-B115-EB4C7B1B7AF0}"/>
    <cellStyle name="Warning Text 5 2" xfId="3467" xr:uid="{00DDC864-6B0A-41DB-A625-721D4AA015AF}"/>
    <cellStyle name="Warning Text 6" xfId="686" xr:uid="{3B092DE0-F827-405B-90DE-31D01E1505C0}"/>
    <cellStyle name="Warning Text 6 2" xfId="3468" xr:uid="{9D48C7EA-08D0-4DA9-9555-400131338A38}"/>
    <cellStyle name="Warning Text 7" xfId="687" xr:uid="{BDED9789-8E45-4E4A-AD10-EB0825BE44E9}"/>
    <cellStyle name="Warning Text 8" xfId="688" xr:uid="{0708A765-B026-48C5-AF8A-0EAAC65DA0A0}"/>
    <cellStyle name="Warning Text 9" xfId="689" xr:uid="{9C40819F-8CFD-4A5D-B22B-6FD37B9AECC8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996AF-C035-4C8C-A8D1-A57E5B3DA071}">
  <sheetPr codeName="Sheet4">
    <tabColor rgb="FFFFFF00"/>
  </sheetPr>
  <dimension ref="A1:AE152"/>
  <sheetViews>
    <sheetView tabSelected="1" view="pageBreakPreview" zoomScale="85" zoomScaleNormal="100" zoomScaleSheetLayoutView="85" workbookViewId="0">
      <selection activeCell="C22" sqref="C22"/>
    </sheetView>
  </sheetViews>
  <sheetFormatPr defaultRowHeight="12.75" x14ac:dyDescent="0.2"/>
  <cols>
    <col min="1" max="3" width="14.5703125" style="56" customWidth="1"/>
    <col min="4" max="6" width="14.5703125" style="59" customWidth="1"/>
    <col min="7" max="8" width="14.5703125" style="56" customWidth="1"/>
    <col min="9" max="18" width="14" style="56" customWidth="1"/>
    <col min="19" max="19" width="14.5703125" style="57" bestFit="1" customWidth="1"/>
    <col min="20" max="20" width="12.140625" style="57" bestFit="1" customWidth="1"/>
    <col min="21" max="30" width="14" style="56" customWidth="1"/>
    <col min="31" max="32" width="13.28515625" style="56" customWidth="1"/>
    <col min="33" max="257" width="9.140625" style="56"/>
    <col min="258" max="258" width="31" style="56" customWidth="1"/>
    <col min="259" max="259" width="18.5703125" style="56" customWidth="1"/>
    <col min="260" max="260" width="3.7109375" style="56" customWidth="1"/>
    <col min="261" max="261" width="18.7109375" style="56" customWidth="1"/>
    <col min="262" max="270" width="14" style="56" customWidth="1"/>
    <col min="271" max="271" width="13" style="56" bestFit="1" customWidth="1"/>
    <col min="272" max="272" width="14.5703125" style="56" bestFit="1" customWidth="1"/>
    <col min="273" max="273" width="12.140625" style="56" bestFit="1" customWidth="1"/>
    <col min="274" max="284" width="14" style="56" customWidth="1"/>
    <col min="285" max="288" width="13.28515625" style="56" customWidth="1"/>
    <col min="289" max="513" width="9.140625" style="56"/>
    <col min="514" max="514" width="31" style="56" customWidth="1"/>
    <col min="515" max="515" width="18.5703125" style="56" customWidth="1"/>
    <col min="516" max="516" width="3.7109375" style="56" customWidth="1"/>
    <col min="517" max="517" width="18.7109375" style="56" customWidth="1"/>
    <col min="518" max="526" width="14" style="56" customWidth="1"/>
    <col min="527" max="527" width="13" style="56" bestFit="1" customWidth="1"/>
    <col min="528" max="528" width="14.5703125" style="56" bestFit="1" customWidth="1"/>
    <col min="529" max="529" width="12.140625" style="56" bestFit="1" customWidth="1"/>
    <col min="530" max="540" width="14" style="56" customWidth="1"/>
    <col min="541" max="544" width="13.28515625" style="56" customWidth="1"/>
    <col min="545" max="769" width="9.140625" style="56"/>
    <col min="770" max="770" width="31" style="56" customWidth="1"/>
    <col min="771" max="771" width="18.5703125" style="56" customWidth="1"/>
    <col min="772" max="772" width="3.7109375" style="56" customWidth="1"/>
    <col min="773" max="773" width="18.7109375" style="56" customWidth="1"/>
    <col min="774" max="782" width="14" style="56" customWidth="1"/>
    <col min="783" max="783" width="13" style="56" bestFit="1" customWidth="1"/>
    <col min="784" max="784" width="14.5703125" style="56" bestFit="1" customWidth="1"/>
    <col min="785" max="785" width="12.140625" style="56" bestFit="1" customWidth="1"/>
    <col min="786" max="796" width="14" style="56" customWidth="1"/>
    <col min="797" max="800" width="13.28515625" style="56" customWidth="1"/>
    <col min="801" max="1025" width="9.140625" style="56"/>
    <col min="1026" max="1026" width="31" style="56" customWidth="1"/>
    <col min="1027" max="1027" width="18.5703125" style="56" customWidth="1"/>
    <col min="1028" max="1028" width="3.7109375" style="56" customWidth="1"/>
    <col min="1029" max="1029" width="18.7109375" style="56" customWidth="1"/>
    <col min="1030" max="1038" width="14" style="56" customWidth="1"/>
    <col min="1039" max="1039" width="13" style="56" bestFit="1" customWidth="1"/>
    <col min="1040" max="1040" width="14.5703125" style="56" bestFit="1" customWidth="1"/>
    <col min="1041" max="1041" width="12.140625" style="56" bestFit="1" customWidth="1"/>
    <col min="1042" max="1052" width="14" style="56" customWidth="1"/>
    <col min="1053" max="1056" width="13.28515625" style="56" customWidth="1"/>
    <col min="1057" max="1281" width="9.140625" style="56"/>
    <col min="1282" max="1282" width="31" style="56" customWidth="1"/>
    <col min="1283" max="1283" width="18.5703125" style="56" customWidth="1"/>
    <col min="1284" max="1284" width="3.7109375" style="56" customWidth="1"/>
    <col min="1285" max="1285" width="18.7109375" style="56" customWidth="1"/>
    <col min="1286" max="1294" width="14" style="56" customWidth="1"/>
    <col min="1295" max="1295" width="13" style="56" bestFit="1" customWidth="1"/>
    <col min="1296" max="1296" width="14.5703125" style="56" bestFit="1" customWidth="1"/>
    <col min="1297" max="1297" width="12.140625" style="56" bestFit="1" customWidth="1"/>
    <col min="1298" max="1308" width="14" style="56" customWidth="1"/>
    <col min="1309" max="1312" width="13.28515625" style="56" customWidth="1"/>
    <col min="1313" max="1537" width="9.140625" style="56"/>
    <col min="1538" max="1538" width="31" style="56" customWidth="1"/>
    <col min="1539" max="1539" width="18.5703125" style="56" customWidth="1"/>
    <col min="1540" max="1540" width="3.7109375" style="56" customWidth="1"/>
    <col min="1541" max="1541" width="18.7109375" style="56" customWidth="1"/>
    <col min="1542" max="1550" width="14" style="56" customWidth="1"/>
    <col min="1551" max="1551" width="13" style="56" bestFit="1" customWidth="1"/>
    <col min="1552" max="1552" width="14.5703125" style="56" bestFit="1" customWidth="1"/>
    <col min="1553" max="1553" width="12.140625" style="56" bestFit="1" customWidth="1"/>
    <col min="1554" max="1564" width="14" style="56" customWidth="1"/>
    <col min="1565" max="1568" width="13.28515625" style="56" customWidth="1"/>
    <col min="1569" max="1793" width="9.140625" style="56"/>
    <col min="1794" max="1794" width="31" style="56" customWidth="1"/>
    <col min="1795" max="1795" width="18.5703125" style="56" customWidth="1"/>
    <col min="1796" max="1796" width="3.7109375" style="56" customWidth="1"/>
    <col min="1797" max="1797" width="18.7109375" style="56" customWidth="1"/>
    <col min="1798" max="1806" width="14" style="56" customWidth="1"/>
    <col min="1807" max="1807" width="13" style="56" bestFit="1" customWidth="1"/>
    <col min="1808" max="1808" width="14.5703125" style="56" bestFit="1" customWidth="1"/>
    <col min="1809" max="1809" width="12.140625" style="56" bestFit="1" customWidth="1"/>
    <col min="1810" max="1820" width="14" style="56" customWidth="1"/>
    <col min="1821" max="1824" width="13.28515625" style="56" customWidth="1"/>
    <col min="1825" max="2049" width="9.140625" style="56"/>
    <col min="2050" max="2050" width="31" style="56" customWidth="1"/>
    <col min="2051" max="2051" width="18.5703125" style="56" customWidth="1"/>
    <col min="2052" max="2052" width="3.7109375" style="56" customWidth="1"/>
    <col min="2053" max="2053" width="18.7109375" style="56" customWidth="1"/>
    <col min="2054" max="2062" width="14" style="56" customWidth="1"/>
    <col min="2063" max="2063" width="13" style="56" bestFit="1" customWidth="1"/>
    <col min="2064" max="2064" width="14.5703125" style="56" bestFit="1" customWidth="1"/>
    <col min="2065" max="2065" width="12.140625" style="56" bestFit="1" customWidth="1"/>
    <col min="2066" max="2076" width="14" style="56" customWidth="1"/>
    <col min="2077" max="2080" width="13.28515625" style="56" customWidth="1"/>
    <col min="2081" max="2305" width="9.140625" style="56"/>
    <col min="2306" max="2306" width="31" style="56" customWidth="1"/>
    <col min="2307" max="2307" width="18.5703125" style="56" customWidth="1"/>
    <col min="2308" max="2308" width="3.7109375" style="56" customWidth="1"/>
    <col min="2309" max="2309" width="18.7109375" style="56" customWidth="1"/>
    <col min="2310" max="2318" width="14" style="56" customWidth="1"/>
    <col min="2319" max="2319" width="13" style="56" bestFit="1" customWidth="1"/>
    <col min="2320" max="2320" width="14.5703125" style="56" bestFit="1" customWidth="1"/>
    <col min="2321" max="2321" width="12.140625" style="56" bestFit="1" customWidth="1"/>
    <col min="2322" max="2332" width="14" style="56" customWidth="1"/>
    <col min="2333" max="2336" width="13.28515625" style="56" customWidth="1"/>
    <col min="2337" max="2561" width="9.140625" style="56"/>
    <col min="2562" max="2562" width="31" style="56" customWidth="1"/>
    <col min="2563" max="2563" width="18.5703125" style="56" customWidth="1"/>
    <col min="2564" max="2564" width="3.7109375" style="56" customWidth="1"/>
    <col min="2565" max="2565" width="18.7109375" style="56" customWidth="1"/>
    <col min="2566" max="2574" width="14" style="56" customWidth="1"/>
    <col min="2575" max="2575" width="13" style="56" bestFit="1" customWidth="1"/>
    <col min="2576" max="2576" width="14.5703125" style="56" bestFit="1" customWidth="1"/>
    <col min="2577" max="2577" width="12.140625" style="56" bestFit="1" customWidth="1"/>
    <col min="2578" max="2588" width="14" style="56" customWidth="1"/>
    <col min="2589" max="2592" width="13.28515625" style="56" customWidth="1"/>
    <col min="2593" max="2817" width="9.140625" style="56"/>
    <col min="2818" max="2818" width="31" style="56" customWidth="1"/>
    <col min="2819" max="2819" width="18.5703125" style="56" customWidth="1"/>
    <col min="2820" max="2820" width="3.7109375" style="56" customWidth="1"/>
    <col min="2821" max="2821" width="18.7109375" style="56" customWidth="1"/>
    <col min="2822" max="2830" width="14" style="56" customWidth="1"/>
    <col min="2831" max="2831" width="13" style="56" bestFit="1" customWidth="1"/>
    <col min="2832" max="2832" width="14.5703125" style="56" bestFit="1" customWidth="1"/>
    <col min="2833" max="2833" width="12.140625" style="56" bestFit="1" customWidth="1"/>
    <col min="2834" max="2844" width="14" style="56" customWidth="1"/>
    <col min="2845" max="2848" width="13.28515625" style="56" customWidth="1"/>
    <col min="2849" max="3073" width="9.140625" style="56"/>
    <col min="3074" max="3074" width="31" style="56" customWidth="1"/>
    <col min="3075" max="3075" width="18.5703125" style="56" customWidth="1"/>
    <col min="3076" max="3076" width="3.7109375" style="56" customWidth="1"/>
    <col min="3077" max="3077" width="18.7109375" style="56" customWidth="1"/>
    <col min="3078" max="3086" width="14" style="56" customWidth="1"/>
    <col min="3087" max="3087" width="13" style="56" bestFit="1" customWidth="1"/>
    <col min="3088" max="3088" width="14.5703125" style="56" bestFit="1" customWidth="1"/>
    <col min="3089" max="3089" width="12.140625" style="56" bestFit="1" customWidth="1"/>
    <col min="3090" max="3100" width="14" style="56" customWidth="1"/>
    <col min="3101" max="3104" width="13.28515625" style="56" customWidth="1"/>
    <col min="3105" max="3329" width="9.140625" style="56"/>
    <col min="3330" max="3330" width="31" style="56" customWidth="1"/>
    <col min="3331" max="3331" width="18.5703125" style="56" customWidth="1"/>
    <col min="3332" max="3332" width="3.7109375" style="56" customWidth="1"/>
    <col min="3333" max="3333" width="18.7109375" style="56" customWidth="1"/>
    <col min="3334" max="3342" width="14" style="56" customWidth="1"/>
    <col min="3343" max="3343" width="13" style="56" bestFit="1" customWidth="1"/>
    <col min="3344" max="3344" width="14.5703125" style="56" bestFit="1" customWidth="1"/>
    <col min="3345" max="3345" width="12.140625" style="56" bestFit="1" customWidth="1"/>
    <col min="3346" max="3356" width="14" style="56" customWidth="1"/>
    <col min="3357" max="3360" width="13.28515625" style="56" customWidth="1"/>
    <col min="3361" max="3585" width="9.140625" style="56"/>
    <col min="3586" max="3586" width="31" style="56" customWidth="1"/>
    <col min="3587" max="3587" width="18.5703125" style="56" customWidth="1"/>
    <col min="3588" max="3588" width="3.7109375" style="56" customWidth="1"/>
    <col min="3589" max="3589" width="18.7109375" style="56" customWidth="1"/>
    <col min="3590" max="3598" width="14" style="56" customWidth="1"/>
    <col min="3599" max="3599" width="13" style="56" bestFit="1" customWidth="1"/>
    <col min="3600" max="3600" width="14.5703125" style="56" bestFit="1" customWidth="1"/>
    <col min="3601" max="3601" width="12.140625" style="56" bestFit="1" customWidth="1"/>
    <col min="3602" max="3612" width="14" style="56" customWidth="1"/>
    <col min="3613" max="3616" width="13.28515625" style="56" customWidth="1"/>
    <col min="3617" max="3841" width="9.140625" style="56"/>
    <col min="3842" max="3842" width="31" style="56" customWidth="1"/>
    <col min="3843" max="3843" width="18.5703125" style="56" customWidth="1"/>
    <col min="3844" max="3844" width="3.7109375" style="56" customWidth="1"/>
    <col min="3845" max="3845" width="18.7109375" style="56" customWidth="1"/>
    <col min="3846" max="3854" width="14" style="56" customWidth="1"/>
    <col min="3855" max="3855" width="13" style="56" bestFit="1" customWidth="1"/>
    <col min="3856" max="3856" width="14.5703125" style="56" bestFit="1" customWidth="1"/>
    <col min="3857" max="3857" width="12.140625" style="56" bestFit="1" customWidth="1"/>
    <col min="3858" max="3868" width="14" style="56" customWidth="1"/>
    <col min="3869" max="3872" width="13.28515625" style="56" customWidth="1"/>
    <col min="3873" max="4097" width="9.140625" style="56"/>
    <col min="4098" max="4098" width="31" style="56" customWidth="1"/>
    <col min="4099" max="4099" width="18.5703125" style="56" customWidth="1"/>
    <col min="4100" max="4100" width="3.7109375" style="56" customWidth="1"/>
    <col min="4101" max="4101" width="18.7109375" style="56" customWidth="1"/>
    <col min="4102" max="4110" width="14" style="56" customWidth="1"/>
    <col min="4111" max="4111" width="13" style="56" bestFit="1" customWidth="1"/>
    <col min="4112" max="4112" width="14.5703125" style="56" bestFit="1" customWidth="1"/>
    <col min="4113" max="4113" width="12.140625" style="56" bestFit="1" customWidth="1"/>
    <col min="4114" max="4124" width="14" style="56" customWidth="1"/>
    <col min="4125" max="4128" width="13.28515625" style="56" customWidth="1"/>
    <col min="4129" max="4353" width="9.140625" style="56"/>
    <col min="4354" max="4354" width="31" style="56" customWidth="1"/>
    <col min="4355" max="4355" width="18.5703125" style="56" customWidth="1"/>
    <col min="4356" max="4356" width="3.7109375" style="56" customWidth="1"/>
    <col min="4357" max="4357" width="18.7109375" style="56" customWidth="1"/>
    <col min="4358" max="4366" width="14" style="56" customWidth="1"/>
    <col min="4367" max="4367" width="13" style="56" bestFit="1" customWidth="1"/>
    <col min="4368" max="4368" width="14.5703125" style="56" bestFit="1" customWidth="1"/>
    <col min="4369" max="4369" width="12.140625" style="56" bestFit="1" customWidth="1"/>
    <col min="4370" max="4380" width="14" style="56" customWidth="1"/>
    <col min="4381" max="4384" width="13.28515625" style="56" customWidth="1"/>
    <col min="4385" max="4609" width="9.140625" style="56"/>
    <col min="4610" max="4610" width="31" style="56" customWidth="1"/>
    <col min="4611" max="4611" width="18.5703125" style="56" customWidth="1"/>
    <col min="4612" max="4612" width="3.7109375" style="56" customWidth="1"/>
    <col min="4613" max="4613" width="18.7109375" style="56" customWidth="1"/>
    <col min="4614" max="4622" width="14" style="56" customWidth="1"/>
    <col min="4623" max="4623" width="13" style="56" bestFit="1" customWidth="1"/>
    <col min="4624" max="4624" width="14.5703125" style="56" bestFit="1" customWidth="1"/>
    <col min="4625" max="4625" width="12.140625" style="56" bestFit="1" customWidth="1"/>
    <col min="4626" max="4636" width="14" style="56" customWidth="1"/>
    <col min="4637" max="4640" width="13.28515625" style="56" customWidth="1"/>
    <col min="4641" max="4865" width="9.140625" style="56"/>
    <col min="4866" max="4866" width="31" style="56" customWidth="1"/>
    <col min="4867" max="4867" width="18.5703125" style="56" customWidth="1"/>
    <col min="4868" max="4868" width="3.7109375" style="56" customWidth="1"/>
    <col min="4869" max="4869" width="18.7109375" style="56" customWidth="1"/>
    <col min="4870" max="4878" width="14" style="56" customWidth="1"/>
    <col min="4879" max="4879" width="13" style="56" bestFit="1" customWidth="1"/>
    <col min="4880" max="4880" width="14.5703125" style="56" bestFit="1" customWidth="1"/>
    <col min="4881" max="4881" width="12.140625" style="56" bestFit="1" customWidth="1"/>
    <col min="4882" max="4892" width="14" style="56" customWidth="1"/>
    <col min="4893" max="4896" width="13.28515625" style="56" customWidth="1"/>
    <col min="4897" max="5121" width="9.140625" style="56"/>
    <col min="5122" max="5122" width="31" style="56" customWidth="1"/>
    <col min="5123" max="5123" width="18.5703125" style="56" customWidth="1"/>
    <col min="5124" max="5124" width="3.7109375" style="56" customWidth="1"/>
    <col min="5125" max="5125" width="18.7109375" style="56" customWidth="1"/>
    <col min="5126" max="5134" width="14" style="56" customWidth="1"/>
    <col min="5135" max="5135" width="13" style="56" bestFit="1" customWidth="1"/>
    <col min="5136" max="5136" width="14.5703125" style="56" bestFit="1" customWidth="1"/>
    <col min="5137" max="5137" width="12.140625" style="56" bestFit="1" customWidth="1"/>
    <col min="5138" max="5148" width="14" style="56" customWidth="1"/>
    <col min="5149" max="5152" width="13.28515625" style="56" customWidth="1"/>
    <col min="5153" max="5377" width="9.140625" style="56"/>
    <col min="5378" max="5378" width="31" style="56" customWidth="1"/>
    <col min="5379" max="5379" width="18.5703125" style="56" customWidth="1"/>
    <col min="5380" max="5380" width="3.7109375" style="56" customWidth="1"/>
    <col min="5381" max="5381" width="18.7109375" style="56" customWidth="1"/>
    <col min="5382" max="5390" width="14" style="56" customWidth="1"/>
    <col min="5391" max="5391" width="13" style="56" bestFit="1" customWidth="1"/>
    <col min="5392" max="5392" width="14.5703125" style="56" bestFit="1" customWidth="1"/>
    <col min="5393" max="5393" width="12.140625" style="56" bestFit="1" customWidth="1"/>
    <col min="5394" max="5404" width="14" style="56" customWidth="1"/>
    <col min="5405" max="5408" width="13.28515625" style="56" customWidth="1"/>
    <col min="5409" max="5633" width="9.140625" style="56"/>
    <col min="5634" max="5634" width="31" style="56" customWidth="1"/>
    <col min="5635" max="5635" width="18.5703125" style="56" customWidth="1"/>
    <col min="5636" max="5636" width="3.7109375" style="56" customWidth="1"/>
    <col min="5637" max="5637" width="18.7109375" style="56" customWidth="1"/>
    <col min="5638" max="5646" width="14" style="56" customWidth="1"/>
    <col min="5647" max="5647" width="13" style="56" bestFit="1" customWidth="1"/>
    <col min="5648" max="5648" width="14.5703125" style="56" bestFit="1" customWidth="1"/>
    <col min="5649" max="5649" width="12.140625" style="56" bestFit="1" customWidth="1"/>
    <col min="5650" max="5660" width="14" style="56" customWidth="1"/>
    <col min="5661" max="5664" width="13.28515625" style="56" customWidth="1"/>
    <col min="5665" max="5889" width="9.140625" style="56"/>
    <col min="5890" max="5890" width="31" style="56" customWidth="1"/>
    <col min="5891" max="5891" width="18.5703125" style="56" customWidth="1"/>
    <col min="5892" max="5892" width="3.7109375" style="56" customWidth="1"/>
    <col min="5893" max="5893" width="18.7109375" style="56" customWidth="1"/>
    <col min="5894" max="5902" width="14" style="56" customWidth="1"/>
    <col min="5903" max="5903" width="13" style="56" bestFit="1" customWidth="1"/>
    <col min="5904" max="5904" width="14.5703125" style="56" bestFit="1" customWidth="1"/>
    <col min="5905" max="5905" width="12.140625" style="56" bestFit="1" customWidth="1"/>
    <col min="5906" max="5916" width="14" style="56" customWidth="1"/>
    <col min="5917" max="5920" width="13.28515625" style="56" customWidth="1"/>
    <col min="5921" max="6145" width="9.140625" style="56"/>
    <col min="6146" max="6146" width="31" style="56" customWidth="1"/>
    <col min="6147" max="6147" width="18.5703125" style="56" customWidth="1"/>
    <col min="6148" max="6148" width="3.7109375" style="56" customWidth="1"/>
    <col min="6149" max="6149" width="18.7109375" style="56" customWidth="1"/>
    <col min="6150" max="6158" width="14" style="56" customWidth="1"/>
    <col min="6159" max="6159" width="13" style="56" bestFit="1" customWidth="1"/>
    <col min="6160" max="6160" width="14.5703125" style="56" bestFit="1" customWidth="1"/>
    <col min="6161" max="6161" width="12.140625" style="56" bestFit="1" customWidth="1"/>
    <col min="6162" max="6172" width="14" style="56" customWidth="1"/>
    <col min="6173" max="6176" width="13.28515625" style="56" customWidth="1"/>
    <col min="6177" max="6401" width="9.140625" style="56"/>
    <col min="6402" max="6402" width="31" style="56" customWidth="1"/>
    <col min="6403" max="6403" width="18.5703125" style="56" customWidth="1"/>
    <col min="6404" max="6404" width="3.7109375" style="56" customWidth="1"/>
    <col min="6405" max="6405" width="18.7109375" style="56" customWidth="1"/>
    <col min="6406" max="6414" width="14" style="56" customWidth="1"/>
    <col min="6415" max="6415" width="13" style="56" bestFit="1" customWidth="1"/>
    <col min="6416" max="6416" width="14.5703125" style="56" bestFit="1" customWidth="1"/>
    <col min="6417" max="6417" width="12.140625" style="56" bestFit="1" customWidth="1"/>
    <col min="6418" max="6428" width="14" style="56" customWidth="1"/>
    <col min="6429" max="6432" width="13.28515625" style="56" customWidth="1"/>
    <col min="6433" max="6657" width="9.140625" style="56"/>
    <col min="6658" max="6658" width="31" style="56" customWidth="1"/>
    <col min="6659" max="6659" width="18.5703125" style="56" customWidth="1"/>
    <col min="6660" max="6660" width="3.7109375" style="56" customWidth="1"/>
    <col min="6661" max="6661" width="18.7109375" style="56" customWidth="1"/>
    <col min="6662" max="6670" width="14" style="56" customWidth="1"/>
    <col min="6671" max="6671" width="13" style="56" bestFit="1" customWidth="1"/>
    <col min="6672" max="6672" width="14.5703125" style="56" bestFit="1" customWidth="1"/>
    <col min="6673" max="6673" width="12.140625" style="56" bestFit="1" customWidth="1"/>
    <col min="6674" max="6684" width="14" style="56" customWidth="1"/>
    <col min="6685" max="6688" width="13.28515625" style="56" customWidth="1"/>
    <col min="6689" max="6913" width="9.140625" style="56"/>
    <col min="6914" max="6914" width="31" style="56" customWidth="1"/>
    <col min="6915" max="6915" width="18.5703125" style="56" customWidth="1"/>
    <col min="6916" max="6916" width="3.7109375" style="56" customWidth="1"/>
    <col min="6917" max="6917" width="18.7109375" style="56" customWidth="1"/>
    <col min="6918" max="6926" width="14" style="56" customWidth="1"/>
    <col min="6927" max="6927" width="13" style="56" bestFit="1" customWidth="1"/>
    <col min="6928" max="6928" width="14.5703125" style="56" bestFit="1" customWidth="1"/>
    <col min="6929" max="6929" width="12.140625" style="56" bestFit="1" customWidth="1"/>
    <col min="6930" max="6940" width="14" style="56" customWidth="1"/>
    <col min="6941" max="6944" width="13.28515625" style="56" customWidth="1"/>
    <col min="6945" max="7169" width="9.140625" style="56"/>
    <col min="7170" max="7170" width="31" style="56" customWidth="1"/>
    <col min="7171" max="7171" width="18.5703125" style="56" customWidth="1"/>
    <col min="7172" max="7172" width="3.7109375" style="56" customWidth="1"/>
    <col min="7173" max="7173" width="18.7109375" style="56" customWidth="1"/>
    <col min="7174" max="7182" width="14" style="56" customWidth="1"/>
    <col min="7183" max="7183" width="13" style="56" bestFit="1" customWidth="1"/>
    <col min="7184" max="7184" width="14.5703125" style="56" bestFit="1" customWidth="1"/>
    <col min="7185" max="7185" width="12.140625" style="56" bestFit="1" customWidth="1"/>
    <col min="7186" max="7196" width="14" style="56" customWidth="1"/>
    <col min="7197" max="7200" width="13.28515625" style="56" customWidth="1"/>
    <col min="7201" max="7425" width="9.140625" style="56"/>
    <col min="7426" max="7426" width="31" style="56" customWidth="1"/>
    <col min="7427" max="7427" width="18.5703125" style="56" customWidth="1"/>
    <col min="7428" max="7428" width="3.7109375" style="56" customWidth="1"/>
    <col min="7429" max="7429" width="18.7109375" style="56" customWidth="1"/>
    <col min="7430" max="7438" width="14" style="56" customWidth="1"/>
    <col min="7439" max="7439" width="13" style="56" bestFit="1" customWidth="1"/>
    <col min="7440" max="7440" width="14.5703125" style="56" bestFit="1" customWidth="1"/>
    <col min="7441" max="7441" width="12.140625" style="56" bestFit="1" customWidth="1"/>
    <col min="7442" max="7452" width="14" style="56" customWidth="1"/>
    <col min="7453" max="7456" width="13.28515625" style="56" customWidth="1"/>
    <col min="7457" max="7681" width="9.140625" style="56"/>
    <col min="7682" max="7682" width="31" style="56" customWidth="1"/>
    <col min="7683" max="7683" width="18.5703125" style="56" customWidth="1"/>
    <col min="7684" max="7684" width="3.7109375" style="56" customWidth="1"/>
    <col min="7685" max="7685" width="18.7109375" style="56" customWidth="1"/>
    <col min="7686" max="7694" width="14" style="56" customWidth="1"/>
    <col min="7695" max="7695" width="13" style="56" bestFit="1" customWidth="1"/>
    <col min="7696" max="7696" width="14.5703125" style="56" bestFit="1" customWidth="1"/>
    <col min="7697" max="7697" width="12.140625" style="56" bestFit="1" customWidth="1"/>
    <col min="7698" max="7708" width="14" style="56" customWidth="1"/>
    <col min="7709" max="7712" width="13.28515625" style="56" customWidth="1"/>
    <col min="7713" max="7937" width="9.140625" style="56"/>
    <col min="7938" max="7938" width="31" style="56" customWidth="1"/>
    <col min="7939" max="7939" width="18.5703125" style="56" customWidth="1"/>
    <col min="7940" max="7940" width="3.7109375" style="56" customWidth="1"/>
    <col min="7941" max="7941" width="18.7109375" style="56" customWidth="1"/>
    <col min="7942" max="7950" width="14" style="56" customWidth="1"/>
    <col min="7951" max="7951" width="13" style="56" bestFit="1" customWidth="1"/>
    <col min="7952" max="7952" width="14.5703125" style="56" bestFit="1" customWidth="1"/>
    <col min="7953" max="7953" width="12.140625" style="56" bestFit="1" customWidth="1"/>
    <col min="7954" max="7964" width="14" style="56" customWidth="1"/>
    <col min="7965" max="7968" width="13.28515625" style="56" customWidth="1"/>
    <col min="7969" max="8193" width="9.140625" style="56"/>
    <col min="8194" max="8194" width="31" style="56" customWidth="1"/>
    <col min="8195" max="8195" width="18.5703125" style="56" customWidth="1"/>
    <col min="8196" max="8196" width="3.7109375" style="56" customWidth="1"/>
    <col min="8197" max="8197" width="18.7109375" style="56" customWidth="1"/>
    <col min="8198" max="8206" width="14" style="56" customWidth="1"/>
    <col min="8207" max="8207" width="13" style="56" bestFit="1" customWidth="1"/>
    <col min="8208" max="8208" width="14.5703125" style="56" bestFit="1" customWidth="1"/>
    <col min="8209" max="8209" width="12.140625" style="56" bestFit="1" customWidth="1"/>
    <col min="8210" max="8220" width="14" style="56" customWidth="1"/>
    <col min="8221" max="8224" width="13.28515625" style="56" customWidth="1"/>
    <col min="8225" max="8449" width="9.140625" style="56"/>
    <col min="8450" max="8450" width="31" style="56" customWidth="1"/>
    <col min="8451" max="8451" width="18.5703125" style="56" customWidth="1"/>
    <col min="8452" max="8452" width="3.7109375" style="56" customWidth="1"/>
    <col min="8453" max="8453" width="18.7109375" style="56" customWidth="1"/>
    <col min="8454" max="8462" width="14" style="56" customWidth="1"/>
    <col min="8463" max="8463" width="13" style="56" bestFit="1" customWidth="1"/>
    <col min="8464" max="8464" width="14.5703125" style="56" bestFit="1" customWidth="1"/>
    <col min="8465" max="8465" width="12.140625" style="56" bestFit="1" customWidth="1"/>
    <col min="8466" max="8476" width="14" style="56" customWidth="1"/>
    <col min="8477" max="8480" width="13.28515625" style="56" customWidth="1"/>
    <col min="8481" max="8705" width="9.140625" style="56"/>
    <col min="8706" max="8706" width="31" style="56" customWidth="1"/>
    <col min="8707" max="8707" width="18.5703125" style="56" customWidth="1"/>
    <col min="8708" max="8708" width="3.7109375" style="56" customWidth="1"/>
    <col min="8709" max="8709" width="18.7109375" style="56" customWidth="1"/>
    <col min="8710" max="8718" width="14" style="56" customWidth="1"/>
    <col min="8719" max="8719" width="13" style="56" bestFit="1" customWidth="1"/>
    <col min="8720" max="8720" width="14.5703125" style="56" bestFit="1" customWidth="1"/>
    <col min="8721" max="8721" width="12.140625" style="56" bestFit="1" customWidth="1"/>
    <col min="8722" max="8732" width="14" style="56" customWidth="1"/>
    <col min="8733" max="8736" width="13.28515625" style="56" customWidth="1"/>
    <col min="8737" max="8961" width="9.140625" style="56"/>
    <col min="8962" max="8962" width="31" style="56" customWidth="1"/>
    <col min="8963" max="8963" width="18.5703125" style="56" customWidth="1"/>
    <col min="8964" max="8964" width="3.7109375" style="56" customWidth="1"/>
    <col min="8965" max="8965" width="18.7109375" style="56" customWidth="1"/>
    <col min="8966" max="8974" width="14" style="56" customWidth="1"/>
    <col min="8975" max="8975" width="13" style="56" bestFit="1" customWidth="1"/>
    <col min="8976" max="8976" width="14.5703125" style="56" bestFit="1" customWidth="1"/>
    <col min="8977" max="8977" width="12.140625" style="56" bestFit="1" customWidth="1"/>
    <col min="8978" max="8988" width="14" style="56" customWidth="1"/>
    <col min="8989" max="8992" width="13.28515625" style="56" customWidth="1"/>
    <col min="8993" max="9217" width="9.140625" style="56"/>
    <col min="9218" max="9218" width="31" style="56" customWidth="1"/>
    <col min="9219" max="9219" width="18.5703125" style="56" customWidth="1"/>
    <col min="9220" max="9220" width="3.7109375" style="56" customWidth="1"/>
    <col min="9221" max="9221" width="18.7109375" style="56" customWidth="1"/>
    <col min="9222" max="9230" width="14" style="56" customWidth="1"/>
    <col min="9231" max="9231" width="13" style="56" bestFit="1" customWidth="1"/>
    <col min="9232" max="9232" width="14.5703125" style="56" bestFit="1" customWidth="1"/>
    <col min="9233" max="9233" width="12.140625" style="56" bestFit="1" customWidth="1"/>
    <col min="9234" max="9244" width="14" style="56" customWidth="1"/>
    <col min="9245" max="9248" width="13.28515625" style="56" customWidth="1"/>
    <col min="9249" max="9473" width="9.140625" style="56"/>
    <col min="9474" max="9474" width="31" style="56" customWidth="1"/>
    <col min="9475" max="9475" width="18.5703125" style="56" customWidth="1"/>
    <col min="9476" max="9476" width="3.7109375" style="56" customWidth="1"/>
    <col min="9477" max="9477" width="18.7109375" style="56" customWidth="1"/>
    <col min="9478" max="9486" width="14" style="56" customWidth="1"/>
    <col min="9487" max="9487" width="13" style="56" bestFit="1" customWidth="1"/>
    <col min="9488" max="9488" width="14.5703125" style="56" bestFit="1" customWidth="1"/>
    <col min="9489" max="9489" width="12.140625" style="56" bestFit="1" customWidth="1"/>
    <col min="9490" max="9500" width="14" style="56" customWidth="1"/>
    <col min="9501" max="9504" width="13.28515625" style="56" customWidth="1"/>
    <col min="9505" max="9729" width="9.140625" style="56"/>
    <col min="9730" max="9730" width="31" style="56" customWidth="1"/>
    <col min="9731" max="9731" width="18.5703125" style="56" customWidth="1"/>
    <col min="9732" max="9732" width="3.7109375" style="56" customWidth="1"/>
    <col min="9733" max="9733" width="18.7109375" style="56" customWidth="1"/>
    <col min="9734" max="9742" width="14" style="56" customWidth="1"/>
    <col min="9743" max="9743" width="13" style="56" bestFit="1" customWidth="1"/>
    <col min="9744" max="9744" width="14.5703125" style="56" bestFit="1" customWidth="1"/>
    <col min="9745" max="9745" width="12.140625" style="56" bestFit="1" customWidth="1"/>
    <col min="9746" max="9756" width="14" style="56" customWidth="1"/>
    <col min="9757" max="9760" width="13.28515625" style="56" customWidth="1"/>
    <col min="9761" max="9985" width="9.140625" style="56"/>
    <col min="9986" max="9986" width="31" style="56" customWidth="1"/>
    <col min="9987" max="9987" width="18.5703125" style="56" customWidth="1"/>
    <col min="9988" max="9988" width="3.7109375" style="56" customWidth="1"/>
    <col min="9989" max="9989" width="18.7109375" style="56" customWidth="1"/>
    <col min="9990" max="9998" width="14" style="56" customWidth="1"/>
    <col min="9999" max="9999" width="13" style="56" bestFit="1" customWidth="1"/>
    <col min="10000" max="10000" width="14.5703125" style="56" bestFit="1" customWidth="1"/>
    <col min="10001" max="10001" width="12.140625" style="56" bestFit="1" customWidth="1"/>
    <col min="10002" max="10012" width="14" style="56" customWidth="1"/>
    <col min="10013" max="10016" width="13.28515625" style="56" customWidth="1"/>
    <col min="10017" max="10241" width="9.140625" style="56"/>
    <col min="10242" max="10242" width="31" style="56" customWidth="1"/>
    <col min="10243" max="10243" width="18.5703125" style="56" customWidth="1"/>
    <col min="10244" max="10244" width="3.7109375" style="56" customWidth="1"/>
    <col min="10245" max="10245" width="18.7109375" style="56" customWidth="1"/>
    <col min="10246" max="10254" width="14" style="56" customWidth="1"/>
    <col min="10255" max="10255" width="13" style="56" bestFit="1" customWidth="1"/>
    <col min="10256" max="10256" width="14.5703125" style="56" bestFit="1" customWidth="1"/>
    <col min="10257" max="10257" width="12.140625" style="56" bestFit="1" customWidth="1"/>
    <col min="10258" max="10268" width="14" style="56" customWidth="1"/>
    <col min="10269" max="10272" width="13.28515625" style="56" customWidth="1"/>
    <col min="10273" max="10497" width="9.140625" style="56"/>
    <col min="10498" max="10498" width="31" style="56" customWidth="1"/>
    <col min="10499" max="10499" width="18.5703125" style="56" customWidth="1"/>
    <col min="10500" max="10500" width="3.7109375" style="56" customWidth="1"/>
    <col min="10501" max="10501" width="18.7109375" style="56" customWidth="1"/>
    <col min="10502" max="10510" width="14" style="56" customWidth="1"/>
    <col min="10511" max="10511" width="13" style="56" bestFit="1" customWidth="1"/>
    <col min="10512" max="10512" width="14.5703125" style="56" bestFit="1" customWidth="1"/>
    <col min="10513" max="10513" width="12.140625" style="56" bestFit="1" customWidth="1"/>
    <col min="10514" max="10524" width="14" style="56" customWidth="1"/>
    <col min="10525" max="10528" width="13.28515625" style="56" customWidth="1"/>
    <col min="10529" max="10753" width="9.140625" style="56"/>
    <col min="10754" max="10754" width="31" style="56" customWidth="1"/>
    <col min="10755" max="10755" width="18.5703125" style="56" customWidth="1"/>
    <col min="10756" max="10756" width="3.7109375" style="56" customWidth="1"/>
    <col min="10757" max="10757" width="18.7109375" style="56" customWidth="1"/>
    <col min="10758" max="10766" width="14" style="56" customWidth="1"/>
    <col min="10767" max="10767" width="13" style="56" bestFit="1" customWidth="1"/>
    <col min="10768" max="10768" width="14.5703125" style="56" bestFit="1" customWidth="1"/>
    <col min="10769" max="10769" width="12.140625" style="56" bestFit="1" customWidth="1"/>
    <col min="10770" max="10780" width="14" style="56" customWidth="1"/>
    <col min="10781" max="10784" width="13.28515625" style="56" customWidth="1"/>
    <col min="10785" max="11009" width="9.140625" style="56"/>
    <col min="11010" max="11010" width="31" style="56" customWidth="1"/>
    <col min="11011" max="11011" width="18.5703125" style="56" customWidth="1"/>
    <col min="11012" max="11012" width="3.7109375" style="56" customWidth="1"/>
    <col min="11013" max="11013" width="18.7109375" style="56" customWidth="1"/>
    <col min="11014" max="11022" width="14" style="56" customWidth="1"/>
    <col min="11023" max="11023" width="13" style="56" bestFit="1" customWidth="1"/>
    <col min="11024" max="11024" width="14.5703125" style="56" bestFit="1" customWidth="1"/>
    <col min="11025" max="11025" width="12.140625" style="56" bestFit="1" customWidth="1"/>
    <col min="11026" max="11036" width="14" style="56" customWidth="1"/>
    <col min="11037" max="11040" width="13.28515625" style="56" customWidth="1"/>
    <col min="11041" max="11265" width="9.140625" style="56"/>
    <col min="11266" max="11266" width="31" style="56" customWidth="1"/>
    <col min="11267" max="11267" width="18.5703125" style="56" customWidth="1"/>
    <col min="11268" max="11268" width="3.7109375" style="56" customWidth="1"/>
    <col min="11269" max="11269" width="18.7109375" style="56" customWidth="1"/>
    <col min="11270" max="11278" width="14" style="56" customWidth="1"/>
    <col min="11279" max="11279" width="13" style="56" bestFit="1" customWidth="1"/>
    <col min="11280" max="11280" width="14.5703125" style="56" bestFit="1" customWidth="1"/>
    <col min="11281" max="11281" width="12.140625" style="56" bestFit="1" customWidth="1"/>
    <col min="11282" max="11292" width="14" style="56" customWidth="1"/>
    <col min="11293" max="11296" width="13.28515625" style="56" customWidth="1"/>
    <col min="11297" max="11521" width="9.140625" style="56"/>
    <col min="11522" max="11522" width="31" style="56" customWidth="1"/>
    <col min="11523" max="11523" width="18.5703125" style="56" customWidth="1"/>
    <col min="11524" max="11524" width="3.7109375" style="56" customWidth="1"/>
    <col min="11525" max="11525" width="18.7109375" style="56" customWidth="1"/>
    <col min="11526" max="11534" width="14" style="56" customWidth="1"/>
    <col min="11535" max="11535" width="13" style="56" bestFit="1" customWidth="1"/>
    <col min="11536" max="11536" width="14.5703125" style="56" bestFit="1" customWidth="1"/>
    <col min="11537" max="11537" width="12.140625" style="56" bestFit="1" customWidth="1"/>
    <col min="11538" max="11548" width="14" style="56" customWidth="1"/>
    <col min="11549" max="11552" width="13.28515625" style="56" customWidth="1"/>
    <col min="11553" max="11777" width="9.140625" style="56"/>
    <col min="11778" max="11778" width="31" style="56" customWidth="1"/>
    <col min="11779" max="11779" width="18.5703125" style="56" customWidth="1"/>
    <col min="11780" max="11780" width="3.7109375" style="56" customWidth="1"/>
    <col min="11781" max="11781" width="18.7109375" style="56" customWidth="1"/>
    <col min="11782" max="11790" width="14" style="56" customWidth="1"/>
    <col min="11791" max="11791" width="13" style="56" bestFit="1" customWidth="1"/>
    <col min="11792" max="11792" width="14.5703125" style="56" bestFit="1" customWidth="1"/>
    <col min="11793" max="11793" width="12.140625" style="56" bestFit="1" customWidth="1"/>
    <col min="11794" max="11804" width="14" style="56" customWidth="1"/>
    <col min="11805" max="11808" width="13.28515625" style="56" customWidth="1"/>
    <col min="11809" max="12033" width="9.140625" style="56"/>
    <col min="12034" max="12034" width="31" style="56" customWidth="1"/>
    <col min="12035" max="12035" width="18.5703125" style="56" customWidth="1"/>
    <col min="12036" max="12036" width="3.7109375" style="56" customWidth="1"/>
    <col min="12037" max="12037" width="18.7109375" style="56" customWidth="1"/>
    <col min="12038" max="12046" width="14" style="56" customWidth="1"/>
    <col min="12047" max="12047" width="13" style="56" bestFit="1" customWidth="1"/>
    <col min="12048" max="12048" width="14.5703125" style="56" bestFit="1" customWidth="1"/>
    <col min="12049" max="12049" width="12.140625" style="56" bestFit="1" customWidth="1"/>
    <col min="12050" max="12060" width="14" style="56" customWidth="1"/>
    <col min="12061" max="12064" width="13.28515625" style="56" customWidth="1"/>
    <col min="12065" max="12289" width="9.140625" style="56"/>
    <col min="12290" max="12290" width="31" style="56" customWidth="1"/>
    <col min="12291" max="12291" width="18.5703125" style="56" customWidth="1"/>
    <col min="12292" max="12292" width="3.7109375" style="56" customWidth="1"/>
    <col min="12293" max="12293" width="18.7109375" style="56" customWidth="1"/>
    <col min="12294" max="12302" width="14" style="56" customWidth="1"/>
    <col min="12303" max="12303" width="13" style="56" bestFit="1" customWidth="1"/>
    <col min="12304" max="12304" width="14.5703125" style="56" bestFit="1" customWidth="1"/>
    <col min="12305" max="12305" width="12.140625" style="56" bestFit="1" customWidth="1"/>
    <col min="12306" max="12316" width="14" style="56" customWidth="1"/>
    <col min="12317" max="12320" width="13.28515625" style="56" customWidth="1"/>
    <col min="12321" max="12545" width="9.140625" style="56"/>
    <col min="12546" max="12546" width="31" style="56" customWidth="1"/>
    <col min="12547" max="12547" width="18.5703125" style="56" customWidth="1"/>
    <col min="12548" max="12548" width="3.7109375" style="56" customWidth="1"/>
    <col min="12549" max="12549" width="18.7109375" style="56" customWidth="1"/>
    <col min="12550" max="12558" width="14" style="56" customWidth="1"/>
    <col min="12559" max="12559" width="13" style="56" bestFit="1" customWidth="1"/>
    <col min="12560" max="12560" width="14.5703125" style="56" bestFit="1" customWidth="1"/>
    <col min="12561" max="12561" width="12.140625" style="56" bestFit="1" customWidth="1"/>
    <col min="12562" max="12572" width="14" style="56" customWidth="1"/>
    <col min="12573" max="12576" width="13.28515625" style="56" customWidth="1"/>
    <col min="12577" max="12801" width="9.140625" style="56"/>
    <col min="12802" max="12802" width="31" style="56" customWidth="1"/>
    <col min="12803" max="12803" width="18.5703125" style="56" customWidth="1"/>
    <col min="12804" max="12804" width="3.7109375" style="56" customWidth="1"/>
    <col min="12805" max="12805" width="18.7109375" style="56" customWidth="1"/>
    <col min="12806" max="12814" width="14" style="56" customWidth="1"/>
    <col min="12815" max="12815" width="13" style="56" bestFit="1" customWidth="1"/>
    <col min="12816" max="12816" width="14.5703125" style="56" bestFit="1" customWidth="1"/>
    <col min="12817" max="12817" width="12.140625" style="56" bestFit="1" customWidth="1"/>
    <col min="12818" max="12828" width="14" style="56" customWidth="1"/>
    <col min="12829" max="12832" width="13.28515625" style="56" customWidth="1"/>
    <col min="12833" max="13057" width="9.140625" style="56"/>
    <col min="13058" max="13058" width="31" style="56" customWidth="1"/>
    <col min="13059" max="13059" width="18.5703125" style="56" customWidth="1"/>
    <col min="13060" max="13060" width="3.7109375" style="56" customWidth="1"/>
    <col min="13061" max="13061" width="18.7109375" style="56" customWidth="1"/>
    <col min="13062" max="13070" width="14" style="56" customWidth="1"/>
    <col min="13071" max="13071" width="13" style="56" bestFit="1" customWidth="1"/>
    <col min="13072" max="13072" width="14.5703125" style="56" bestFit="1" customWidth="1"/>
    <col min="13073" max="13073" width="12.140625" style="56" bestFit="1" customWidth="1"/>
    <col min="13074" max="13084" width="14" style="56" customWidth="1"/>
    <col min="13085" max="13088" width="13.28515625" style="56" customWidth="1"/>
    <col min="13089" max="13313" width="9.140625" style="56"/>
    <col min="13314" max="13314" width="31" style="56" customWidth="1"/>
    <col min="13315" max="13315" width="18.5703125" style="56" customWidth="1"/>
    <col min="13316" max="13316" width="3.7109375" style="56" customWidth="1"/>
    <col min="13317" max="13317" width="18.7109375" style="56" customWidth="1"/>
    <col min="13318" max="13326" width="14" style="56" customWidth="1"/>
    <col min="13327" max="13327" width="13" style="56" bestFit="1" customWidth="1"/>
    <col min="13328" max="13328" width="14.5703125" style="56" bestFit="1" customWidth="1"/>
    <col min="13329" max="13329" width="12.140625" style="56" bestFit="1" customWidth="1"/>
    <col min="13330" max="13340" width="14" style="56" customWidth="1"/>
    <col min="13341" max="13344" width="13.28515625" style="56" customWidth="1"/>
    <col min="13345" max="13569" width="9.140625" style="56"/>
    <col min="13570" max="13570" width="31" style="56" customWidth="1"/>
    <col min="13571" max="13571" width="18.5703125" style="56" customWidth="1"/>
    <col min="13572" max="13572" width="3.7109375" style="56" customWidth="1"/>
    <col min="13573" max="13573" width="18.7109375" style="56" customWidth="1"/>
    <col min="13574" max="13582" width="14" style="56" customWidth="1"/>
    <col min="13583" max="13583" width="13" style="56" bestFit="1" customWidth="1"/>
    <col min="13584" max="13584" width="14.5703125" style="56" bestFit="1" customWidth="1"/>
    <col min="13585" max="13585" width="12.140625" style="56" bestFit="1" customWidth="1"/>
    <col min="13586" max="13596" width="14" style="56" customWidth="1"/>
    <col min="13597" max="13600" width="13.28515625" style="56" customWidth="1"/>
    <col min="13601" max="13825" width="9.140625" style="56"/>
    <col min="13826" max="13826" width="31" style="56" customWidth="1"/>
    <col min="13827" max="13827" width="18.5703125" style="56" customWidth="1"/>
    <col min="13828" max="13828" width="3.7109375" style="56" customWidth="1"/>
    <col min="13829" max="13829" width="18.7109375" style="56" customWidth="1"/>
    <col min="13830" max="13838" width="14" style="56" customWidth="1"/>
    <col min="13839" max="13839" width="13" style="56" bestFit="1" customWidth="1"/>
    <col min="13840" max="13840" width="14.5703125" style="56" bestFit="1" customWidth="1"/>
    <col min="13841" max="13841" width="12.140625" style="56" bestFit="1" customWidth="1"/>
    <col min="13842" max="13852" width="14" style="56" customWidth="1"/>
    <col min="13853" max="13856" width="13.28515625" style="56" customWidth="1"/>
    <col min="13857" max="14081" width="9.140625" style="56"/>
    <col min="14082" max="14082" width="31" style="56" customWidth="1"/>
    <col min="14083" max="14083" width="18.5703125" style="56" customWidth="1"/>
    <col min="14084" max="14084" width="3.7109375" style="56" customWidth="1"/>
    <col min="14085" max="14085" width="18.7109375" style="56" customWidth="1"/>
    <col min="14086" max="14094" width="14" style="56" customWidth="1"/>
    <col min="14095" max="14095" width="13" style="56" bestFit="1" customWidth="1"/>
    <col min="14096" max="14096" width="14.5703125" style="56" bestFit="1" customWidth="1"/>
    <col min="14097" max="14097" width="12.140625" style="56" bestFit="1" customWidth="1"/>
    <col min="14098" max="14108" width="14" style="56" customWidth="1"/>
    <col min="14109" max="14112" width="13.28515625" style="56" customWidth="1"/>
    <col min="14113" max="14337" width="9.140625" style="56"/>
    <col min="14338" max="14338" width="31" style="56" customWidth="1"/>
    <col min="14339" max="14339" width="18.5703125" style="56" customWidth="1"/>
    <col min="14340" max="14340" width="3.7109375" style="56" customWidth="1"/>
    <col min="14341" max="14341" width="18.7109375" style="56" customWidth="1"/>
    <col min="14342" max="14350" width="14" style="56" customWidth="1"/>
    <col min="14351" max="14351" width="13" style="56" bestFit="1" customWidth="1"/>
    <col min="14352" max="14352" width="14.5703125" style="56" bestFit="1" customWidth="1"/>
    <col min="14353" max="14353" width="12.140625" style="56" bestFit="1" customWidth="1"/>
    <col min="14354" max="14364" width="14" style="56" customWidth="1"/>
    <col min="14365" max="14368" width="13.28515625" style="56" customWidth="1"/>
    <col min="14369" max="14593" width="9.140625" style="56"/>
    <col min="14594" max="14594" width="31" style="56" customWidth="1"/>
    <col min="14595" max="14595" width="18.5703125" style="56" customWidth="1"/>
    <col min="14596" max="14596" width="3.7109375" style="56" customWidth="1"/>
    <col min="14597" max="14597" width="18.7109375" style="56" customWidth="1"/>
    <col min="14598" max="14606" width="14" style="56" customWidth="1"/>
    <col min="14607" max="14607" width="13" style="56" bestFit="1" customWidth="1"/>
    <col min="14608" max="14608" width="14.5703125" style="56" bestFit="1" customWidth="1"/>
    <col min="14609" max="14609" width="12.140625" style="56" bestFit="1" customWidth="1"/>
    <col min="14610" max="14620" width="14" style="56" customWidth="1"/>
    <col min="14621" max="14624" width="13.28515625" style="56" customWidth="1"/>
    <col min="14625" max="14849" width="9.140625" style="56"/>
    <col min="14850" max="14850" width="31" style="56" customWidth="1"/>
    <col min="14851" max="14851" width="18.5703125" style="56" customWidth="1"/>
    <col min="14852" max="14852" width="3.7109375" style="56" customWidth="1"/>
    <col min="14853" max="14853" width="18.7109375" style="56" customWidth="1"/>
    <col min="14854" max="14862" width="14" style="56" customWidth="1"/>
    <col min="14863" max="14863" width="13" style="56" bestFit="1" customWidth="1"/>
    <col min="14864" max="14864" width="14.5703125" style="56" bestFit="1" customWidth="1"/>
    <col min="14865" max="14865" width="12.140625" style="56" bestFit="1" customWidth="1"/>
    <col min="14866" max="14876" width="14" style="56" customWidth="1"/>
    <col min="14877" max="14880" width="13.28515625" style="56" customWidth="1"/>
    <col min="14881" max="15105" width="9.140625" style="56"/>
    <col min="15106" max="15106" width="31" style="56" customWidth="1"/>
    <col min="15107" max="15107" width="18.5703125" style="56" customWidth="1"/>
    <col min="15108" max="15108" width="3.7109375" style="56" customWidth="1"/>
    <col min="15109" max="15109" width="18.7109375" style="56" customWidth="1"/>
    <col min="15110" max="15118" width="14" style="56" customWidth="1"/>
    <col min="15119" max="15119" width="13" style="56" bestFit="1" customWidth="1"/>
    <col min="15120" max="15120" width="14.5703125" style="56" bestFit="1" customWidth="1"/>
    <col min="15121" max="15121" width="12.140625" style="56" bestFit="1" customWidth="1"/>
    <col min="15122" max="15132" width="14" style="56" customWidth="1"/>
    <col min="15133" max="15136" width="13.28515625" style="56" customWidth="1"/>
    <col min="15137" max="15361" width="9.140625" style="56"/>
    <col min="15362" max="15362" width="31" style="56" customWidth="1"/>
    <col min="15363" max="15363" width="18.5703125" style="56" customWidth="1"/>
    <col min="15364" max="15364" width="3.7109375" style="56" customWidth="1"/>
    <col min="15365" max="15365" width="18.7109375" style="56" customWidth="1"/>
    <col min="15366" max="15374" width="14" style="56" customWidth="1"/>
    <col min="15375" max="15375" width="13" style="56" bestFit="1" customWidth="1"/>
    <col min="15376" max="15376" width="14.5703125" style="56" bestFit="1" customWidth="1"/>
    <col min="15377" max="15377" width="12.140625" style="56" bestFit="1" customWidth="1"/>
    <col min="15378" max="15388" width="14" style="56" customWidth="1"/>
    <col min="15389" max="15392" width="13.28515625" style="56" customWidth="1"/>
    <col min="15393" max="15617" width="9.140625" style="56"/>
    <col min="15618" max="15618" width="31" style="56" customWidth="1"/>
    <col min="15619" max="15619" width="18.5703125" style="56" customWidth="1"/>
    <col min="15620" max="15620" width="3.7109375" style="56" customWidth="1"/>
    <col min="15621" max="15621" width="18.7109375" style="56" customWidth="1"/>
    <col min="15622" max="15630" width="14" style="56" customWidth="1"/>
    <col min="15631" max="15631" width="13" style="56" bestFit="1" customWidth="1"/>
    <col min="15632" max="15632" width="14.5703125" style="56" bestFit="1" customWidth="1"/>
    <col min="15633" max="15633" width="12.140625" style="56" bestFit="1" customWidth="1"/>
    <col min="15634" max="15644" width="14" style="56" customWidth="1"/>
    <col min="15645" max="15648" width="13.28515625" style="56" customWidth="1"/>
    <col min="15649" max="15873" width="9.140625" style="56"/>
    <col min="15874" max="15874" width="31" style="56" customWidth="1"/>
    <col min="15875" max="15875" width="18.5703125" style="56" customWidth="1"/>
    <col min="15876" max="15876" width="3.7109375" style="56" customWidth="1"/>
    <col min="15877" max="15877" width="18.7109375" style="56" customWidth="1"/>
    <col min="15878" max="15886" width="14" style="56" customWidth="1"/>
    <col min="15887" max="15887" width="13" style="56" bestFit="1" customWidth="1"/>
    <col min="15888" max="15888" width="14.5703125" style="56" bestFit="1" customWidth="1"/>
    <col min="15889" max="15889" width="12.140625" style="56" bestFit="1" customWidth="1"/>
    <col min="15890" max="15900" width="14" style="56" customWidth="1"/>
    <col min="15901" max="15904" width="13.28515625" style="56" customWidth="1"/>
    <col min="15905" max="16129" width="9.140625" style="56"/>
    <col min="16130" max="16130" width="31" style="56" customWidth="1"/>
    <col min="16131" max="16131" width="18.5703125" style="56" customWidth="1"/>
    <col min="16132" max="16132" width="3.7109375" style="56" customWidth="1"/>
    <col min="16133" max="16133" width="18.7109375" style="56" customWidth="1"/>
    <col min="16134" max="16142" width="14" style="56" customWidth="1"/>
    <col min="16143" max="16143" width="13" style="56" bestFit="1" customWidth="1"/>
    <col min="16144" max="16144" width="14.5703125" style="56" bestFit="1" customWidth="1"/>
    <col min="16145" max="16145" width="12.140625" style="56" bestFit="1" customWidth="1"/>
    <col min="16146" max="16156" width="14" style="56" customWidth="1"/>
    <col min="16157" max="16160" width="13.28515625" style="56" customWidth="1"/>
    <col min="16161" max="16384" width="9.140625" style="56"/>
  </cols>
  <sheetData>
    <row r="1" spans="1:27" x14ac:dyDescent="0.2">
      <c r="D1" s="56"/>
      <c r="E1" s="56"/>
      <c r="F1" s="56"/>
    </row>
    <row r="2" spans="1:27" x14ac:dyDescent="0.2">
      <c r="D2" s="143"/>
      <c r="E2" s="56"/>
      <c r="F2" s="56"/>
      <c r="H2" s="143"/>
      <c r="W2"/>
      <c r="X2"/>
      <c r="Y2"/>
      <c r="Z2"/>
      <c r="AA2"/>
    </row>
    <row r="3" spans="1:27" s="58" customFormat="1" ht="15.75" customHeight="1" x14ac:dyDescent="0.2">
      <c r="A3" s="187" t="s">
        <v>76</v>
      </c>
      <c r="B3" s="187"/>
      <c r="C3" s="187"/>
      <c r="D3" s="187"/>
      <c r="E3" s="187"/>
      <c r="F3" s="187"/>
      <c r="G3" s="187"/>
      <c r="H3" s="187"/>
      <c r="I3" s="157"/>
      <c r="J3"/>
      <c r="K3"/>
      <c r="L3"/>
      <c r="M3"/>
      <c r="N3"/>
      <c r="O3"/>
      <c r="P3"/>
      <c r="Q3"/>
      <c r="R3"/>
    </row>
    <row r="4" spans="1:27" ht="44.25" customHeight="1" x14ac:dyDescent="0.2">
      <c r="A4" s="156" t="s">
        <v>43</v>
      </c>
      <c r="B4" s="156" t="s">
        <v>41</v>
      </c>
      <c r="C4" s="156" t="s">
        <v>44</v>
      </c>
      <c r="D4" s="156" t="s">
        <v>140</v>
      </c>
      <c r="E4" s="156" t="s">
        <v>82</v>
      </c>
      <c r="F4" s="156" t="s">
        <v>83</v>
      </c>
      <c r="G4" s="156" t="s">
        <v>45</v>
      </c>
      <c r="H4" s="156" t="s">
        <v>141</v>
      </c>
      <c r="J4"/>
      <c r="K4"/>
      <c r="L4"/>
      <c r="M4"/>
      <c r="N4"/>
      <c r="O4"/>
      <c r="P4"/>
      <c r="Q4"/>
      <c r="R4"/>
      <c r="S4"/>
      <c r="T4"/>
    </row>
    <row r="5" spans="1:27" x14ac:dyDescent="0.2">
      <c r="A5" s="105">
        <v>2016</v>
      </c>
      <c r="B5" s="103">
        <f>AVERAGE($G$24:$G$35)</f>
        <v>25975.00000281772</v>
      </c>
      <c r="C5" s="103">
        <f>AVERAGE($I$24:$I$35)</f>
        <v>2497.0000002302422</v>
      </c>
      <c r="D5" s="103">
        <f>AVERAGE($L$24:$L$35)</f>
        <v>212.99999918317701</v>
      </c>
      <c r="E5" s="103">
        <f>AVERAGE($O$24:$O$35)</f>
        <v>36.000272421901862</v>
      </c>
      <c r="F5" s="103">
        <f>AVERAGE($R$24:$R$35)</f>
        <v>746.9999973879153</v>
      </c>
      <c r="G5" s="104">
        <f>AVERAGE($U$24:$U$35)</f>
        <v>5718.0000013756717</v>
      </c>
      <c r="H5" s="103">
        <f>AVERAGE($X$24:$X$35)</f>
        <v>1</v>
      </c>
      <c r="I5" s="155"/>
      <c r="J5" s="145"/>
      <c r="K5"/>
      <c r="L5"/>
      <c r="M5"/>
      <c r="N5"/>
      <c r="O5"/>
      <c r="P5"/>
      <c r="Q5"/>
      <c r="R5"/>
      <c r="S5"/>
      <c r="T5"/>
    </row>
    <row r="6" spans="1:27" x14ac:dyDescent="0.2">
      <c r="A6" s="105">
        <v>2017</v>
      </c>
      <c r="B6" s="103">
        <f>AVERAGE($G$36:$G$47)</f>
        <v>26129.000009853564</v>
      </c>
      <c r="C6" s="103">
        <f>AVERAGE($I$36:$I$47)</f>
        <v>2505.0000001524254</v>
      </c>
      <c r="D6" s="103">
        <f>AVERAGE($L$36:$L$47)</f>
        <v>201.99999917716119</v>
      </c>
      <c r="E6" s="103">
        <f>AVERAGE($O$36:$O$47)</f>
        <v>42.999733209025841</v>
      </c>
      <c r="F6" s="103">
        <f>AVERAGE($R$36:$R$47)</f>
        <v>718.99999713373836</v>
      </c>
      <c r="G6" s="103">
        <f>AVERAGE($U$36:$U$47)</f>
        <v>5739.0000001301232</v>
      </c>
      <c r="H6" s="103">
        <f>AVERAGE($X$36:$X$47)</f>
        <v>1</v>
      </c>
      <c r="I6" s="155"/>
      <c r="J6" s="39"/>
      <c r="K6"/>
      <c r="L6"/>
      <c r="M6"/>
      <c r="N6"/>
      <c r="O6"/>
      <c r="P6"/>
      <c r="Q6"/>
      <c r="R6"/>
      <c r="S6"/>
      <c r="T6"/>
    </row>
    <row r="7" spans="1:27" x14ac:dyDescent="0.2">
      <c r="A7" s="105">
        <v>2018</v>
      </c>
      <c r="B7" s="103">
        <f>AVERAGE($G$48:$G$59)</f>
        <v>26347.000013108871</v>
      </c>
      <c r="C7" s="103">
        <f>AVERAGE($I$48:$I$59)</f>
        <v>2498.9999991697982</v>
      </c>
      <c r="D7" s="103">
        <f>AVERAGE($L$48:$L$59)</f>
        <v>197.99933726277015</v>
      </c>
      <c r="E7" s="103">
        <f>AVERAGE($O$48:$O$59)</f>
        <v>49.000610312266637</v>
      </c>
      <c r="F7" s="103">
        <f>AVERAGE($R$48:$R$59)</f>
        <v>702.00018067538122</v>
      </c>
      <c r="G7" s="103">
        <f>AVERAGE($U$48:$U$59)</f>
        <v>5759.0000009844471</v>
      </c>
      <c r="H7" s="103">
        <f>AVERAGE($X$48:$X$59)</f>
        <v>1</v>
      </c>
      <c r="I7" s="155"/>
      <c r="J7"/>
      <c r="K7"/>
      <c r="L7"/>
      <c r="M7"/>
      <c r="N7"/>
      <c r="O7"/>
      <c r="P7"/>
      <c r="Q7"/>
      <c r="R7"/>
      <c r="S7"/>
      <c r="T7"/>
    </row>
    <row r="8" spans="1:27" x14ac:dyDescent="0.2">
      <c r="A8" s="105">
        <v>2019</v>
      </c>
      <c r="B8" s="103">
        <f>AVERAGE($G$60:$G$71)</f>
        <v>26619.000020449614</v>
      </c>
      <c r="C8" s="103">
        <f>AVERAGE($I$60:$I$71)</f>
        <v>2492.0000000078071</v>
      </c>
      <c r="D8" s="103">
        <f>AVERAGE($L$60:$L$71)</f>
        <v>192.99999922121364</v>
      </c>
      <c r="E8" s="103">
        <f>AVERAGE($O$60:$O$71)</f>
        <v>47.000576596160109</v>
      </c>
      <c r="F8" s="103">
        <f>AVERAGE($R$60:$R$71)</f>
        <v>671.99999830239233</v>
      </c>
      <c r="G8" s="103">
        <f>AVERAGE($U$60:$U$71)</f>
        <v>5862.0000169233763</v>
      </c>
      <c r="H8" s="103">
        <f>AVERAGE($X$60:$X$71)</f>
        <v>1</v>
      </c>
      <c r="I8" s="155"/>
      <c r="J8"/>
      <c r="K8"/>
      <c r="L8"/>
      <c r="M8"/>
      <c r="N8"/>
      <c r="O8"/>
      <c r="P8"/>
      <c r="Q8"/>
      <c r="R8"/>
      <c r="S8"/>
      <c r="T8"/>
    </row>
    <row r="9" spans="1:27" x14ac:dyDescent="0.2">
      <c r="A9" s="105">
        <v>2020</v>
      </c>
      <c r="B9" s="103">
        <f>AVERAGE($G$72:$G$83)</f>
        <v>26905.00001660228</v>
      </c>
      <c r="C9" s="103">
        <f>AVERAGE($I$72:$I$83)</f>
        <v>2489.9999999185279</v>
      </c>
      <c r="D9" s="103">
        <f>AVERAGE($L$72:$L$83)</f>
        <v>192.00000066270547</v>
      </c>
      <c r="E9" s="103">
        <f>AVERAGE($O$72:$O$83)</f>
        <v>45.999875630857623</v>
      </c>
      <c r="F9" s="103">
        <f>AVERAGE($R$72:$R$83)</f>
        <v>641.99999863824553</v>
      </c>
      <c r="G9" s="103">
        <f>AVERAGE($U$72:$U$83)</f>
        <v>5978.0000050757508</v>
      </c>
      <c r="H9" s="103">
        <f>AVERAGE($X$72:$X$83)</f>
        <v>1</v>
      </c>
      <c r="I9" s="155"/>
      <c r="J9"/>
      <c r="K9"/>
      <c r="L9"/>
      <c r="M9"/>
      <c r="N9"/>
      <c r="O9"/>
      <c r="P9"/>
      <c r="Q9"/>
      <c r="R9"/>
      <c r="S9"/>
      <c r="T9"/>
    </row>
    <row r="10" spans="1:27" x14ac:dyDescent="0.2">
      <c r="A10" s="105">
        <v>2021</v>
      </c>
      <c r="B10" s="103">
        <f>AVERAGE($G$84:$G$95)</f>
        <v>27186.000018568298</v>
      </c>
      <c r="C10" s="103">
        <f>AVERAGE($I$84:$I$95)</f>
        <v>2496.0000006376936</v>
      </c>
      <c r="D10" s="103">
        <f>AVERAGE($L$84:$L$95)</f>
        <v>199.00000072789609</v>
      </c>
      <c r="E10" s="103">
        <f>AVERAGE($O$84:$O$95)</f>
        <v>45.000581707115771</v>
      </c>
      <c r="F10" s="103">
        <f>AVERAGE($R$84:$R$95)</f>
        <v>638.99997565187289</v>
      </c>
      <c r="G10" s="103">
        <f>AVERAGE($U$84:$U$95)</f>
        <v>6008.999999975149</v>
      </c>
      <c r="H10" s="103">
        <f>AVERAGE($X$84:$X$95)</f>
        <v>1</v>
      </c>
      <c r="I10" s="155"/>
      <c r="J10"/>
      <c r="K10"/>
      <c r="L10"/>
      <c r="M10"/>
      <c r="N10"/>
      <c r="O10"/>
      <c r="P10"/>
      <c r="Q10"/>
      <c r="R10"/>
      <c r="S10"/>
      <c r="T10"/>
    </row>
    <row r="11" spans="1:27" x14ac:dyDescent="0.2">
      <c r="A11" s="105">
        <v>2022</v>
      </c>
      <c r="B11" s="103">
        <f>AVERAGE($G$96:$G$107)</f>
        <v>27519.000027677106</v>
      </c>
      <c r="C11" s="103">
        <f>AVERAGE($I$96:$I$107)</f>
        <v>2518.0000018093401</v>
      </c>
      <c r="D11" s="103">
        <f>AVERAGE($L$96:$L$107)</f>
        <v>200.999999803191</v>
      </c>
      <c r="E11" s="103">
        <f>AVERAGE($O$96:$O$107)</f>
        <v>43.000548916746652</v>
      </c>
      <c r="F11" s="103">
        <f>AVERAGE($R$96:$R$107)</f>
        <v>636.00001432786598</v>
      </c>
      <c r="G11" s="103">
        <f>AVERAGE($U$96:$U$107)</f>
        <v>6014.0000002044408</v>
      </c>
      <c r="H11" s="103">
        <f>AVERAGE($X$96:$X$107)</f>
        <v>1</v>
      </c>
      <c r="I11" s="155"/>
      <c r="J11"/>
      <c r="K11"/>
      <c r="L11"/>
      <c r="M11"/>
      <c r="N11"/>
      <c r="O11"/>
      <c r="P11"/>
      <c r="Q11"/>
      <c r="R11"/>
      <c r="S11"/>
      <c r="T11"/>
    </row>
    <row r="12" spans="1:27" x14ac:dyDescent="0.2">
      <c r="A12" s="105">
        <v>2023</v>
      </c>
      <c r="B12" s="103">
        <f>AVERAGE($G$108:$G$119)</f>
        <v>27839.000016931259</v>
      </c>
      <c r="C12" s="103">
        <f>AVERAGE($I$108:$I$119)</f>
        <v>2530.000959279259</v>
      </c>
      <c r="D12" s="103">
        <f>AVERAGE($L$108:$L$119)</f>
        <v>199.99977258067324</v>
      </c>
      <c r="E12" s="103">
        <f>AVERAGE($O$108:$O$119)</f>
        <v>42.000113079818469</v>
      </c>
      <c r="F12" s="103">
        <f>AVERAGE($R$108:$R$119)</f>
        <v>627.00000011456291</v>
      </c>
      <c r="G12" s="103">
        <f>AVERAGE($U$108:$U$119)</f>
        <v>6055.000004176286</v>
      </c>
      <c r="H12" s="103">
        <f>AVERAGE($X$108:$X$119)</f>
        <v>1</v>
      </c>
      <c r="I12" s="155"/>
      <c r="J12" s="39" t="s">
        <v>130</v>
      </c>
      <c r="K12"/>
      <c r="L12"/>
      <c r="M12"/>
      <c r="N12"/>
      <c r="O12"/>
      <c r="P12"/>
      <c r="Q12"/>
      <c r="R12"/>
      <c r="S12"/>
      <c r="T12"/>
    </row>
    <row r="13" spans="1:27" x14ac:dyDescent="0.2">
      <c r="A13" s="105">
        <v>2024</v>
      </c>
      <c r="B13" s="103">
        <f>AVERAGE($G$120:$G$131)</f>
        <v>28077.000009760213</v>
      </c>
      <c r="C13" s="103">
        <f>AVERAGE($I$120:$I$131)</f>
        <v>2534.0000002060556</v>
      </c>
      <c r="D13" s="103">
        <f>AVERAGE($L$120:$L$131)</f>
        <v>203.00000052972231</v>
      </c>
      <c r="E13" s="103">
        <f>AVERAGE($O$120:$O$131)</f>
        <v>41.999907697781225</v>
      </c>
      <c r="F13" s="103">
        <f>AVERAGE($R$120:$R$131)</f>
        <v>623.99970368356333</v>
      </c>
      <c r="G13" s="103">
        <f>AVERAGE($U$120:$U$131)</f>
        <v>6146.0000101049836</v>
      </c>
      <c r="H13" s="103">
        <f>AVERAGE($X$120:$X$131)</f>
        <v>1</v>
      </c>
      <c r="I13" s="155"/>
      <c r="J13"/>
      <c r="K13"/>
      <c r="L13"/>
      <c r="M13"/>
      <c r="N13"/>
      <c r="O13"/>
      <c r="P13"/>
      <c r="Q13"/>
      <c r="R13"/>
      <c r="S13"/>
      <c r="T13"/>
    </row>
    <row r="14" spans="1:27" x14ac:dyDescent="0.2">
      <c r="A14" s="105">
        <v>2025</v>
      </c>
      <c r="B14" s="103">
        <f>AVERAGE($G$132:$G$143)</f>
        <v>28279.00000933748</v>
      </c>
      <c r="C14" s="103">
        <f>AVERAGE($I$132:$I$143)</f>
        <v>2545.0000004697868</v>
      </c>
      <c r="D14" s="103">
        <f>AVERAGE($L$132:$L$143)</f>
        <v>202.99999955378772</v>
      </c>
      <c r="E14" s="103">
        <f>AVERAGE($O$132:$O$143)</f>
        <v>42.999447682064066</v>
      </c>
      <c r="F14" s="103">
        <f>AVERAGE($R$132:$R$143)</f>
        <v>618.00003175109202</v>
      </c>
      <c r="G14" s="103">
        <f>AVERAGE($U$132:$U$143)</f>
        <v>6154.9999939099025</v>
      </c>
      <c r="H14" s="103">
        <f>AVERAGE($X$132:$X$143)</f>
        <v>1</v>
      </c>
      <c r="I14" s="145"/>
      <c r="K14"/>
      <c r="L14"/>
      <c r="M14"/>
      <c r="N14"/>
      <c r="O14"/>
      <c r="P14"/>
      <c r="Q14"/>
      <c r="R14"/>
      <c r="S14"/>
      <c r="T14"/>
    </row>
    <row r="15" spans="1:27" x14ac:dyDescent="0.2">
      <c r="A15"/>
      <c r="B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7" x14ac:dyDescent="0.2">
      <c r="A16"/>
      <c r="B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30" x14ac:dyDescent="0.2">
      <c r="A17"/>
      <c r="B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30" x14ac:dyDescent="0.2">
      <c r="A18"/>
      <c r="B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30" x14ac:dyDescent="0.2">
      <c r="D19" s="144"/>
      <c r="E19" s="144"/>
    </row>
    <row r="20" spans="1:30" ht="15" customHeight="1" x14ac:dyDescent="0.2">
      <c r="A20" s="191" t="s">
        <v>46</v>
      </c>
      <c r="B20" s="191"/>
      <c r="C20" s="60"/>
      <c r="D20" s="191" t="s">
        <v>47</v>
      </c>
      <c r="E20" s="191"/>
      <c r="F20" s="188" t="s">
        <v>48</v>
      </c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90"/>
      <c r="AB20"/>
      <c r="AC20"/>
      <c r="AD20"/>
    </row>
    <row r="21" spans="1:30" ht="22.5" x14ac:dyDescent="0.2">
      <c r="A21" s="106"/>
      <c r="B21" s="106"/>
      <c r="C21" s="62"/>
      <c r="D21" s="107" t="s">
        <v>49</v>
      </c>
      <c r="E21" s="108" t="s">
        <v>81</v>
      </c>
      <c r="F21" s="193" t="str">
        <f>B4</f>
        <v>Residential</v>
      </c>
      <c r="G21" s="194"/>
      <c r="H21" s="192" t="str">
        <f>C4</f>
        <v>General Service &lt; 50 kW</v>
      </c>
      <c r="I21" s="194"/>
      <c r="J21" s="192" t="str">
        <f>D4</f>
        <v>General Service &gt;= 50 kW</v>
      </c>
      <c r="K21" s="193"/>
      <c r="L21" s="194"/>
      <c r="M21" s="192" t="str">
        <f>E4</f>
        <v>Unmetered Scattered Load</v>
      </c>
      <c r="N21" s="193"/>
      <c r="O21" s="194"/>
      <c r="P21" s="192" t="str">
        <f>F4</f>
        <v>Sentinel Lighting</v>
      </c>
      <c r="Q21" s="193"/>
      <c r="R21" s="194"/>
      <c r="S21" s="192" t="str">
        <f>G4</f>
        <v xml:space="preserve">Street Lighting </v>
      </c>
      <c r="T21" s="193"/>
      <c r="U21" s="194"/>
      <c r="V21" s="192" t="str">
        <f>H4</f>
        <v>Embedded Distributor</v>
      </c>
      <c r="W21" s="193"/>
      <c r="X21" s="194"/>
      <c r="Y21" s="192"/>
      <c r="Z21" s="193"/>
      <c r="AA21" s="194"/>
      <c r="AB21"/>
      <c r="AC21"/>
      <c r="AD21"/>
    </row>
    <row r="22" spans="1:30" ht="34.5" thickBot="1" x14ac:dyDescent="0.25">
      <c r="A22" s="61"/>
      <c r="B22" s="61"/>
      <c r="C22" s="63"/>
      <c r="D22" s="109"/>
      <c r="E22" s="110"/>
      <c r="F22" s="111" t="s">
        <v>32</v>
      </c>
      <c r="G22" s="112" t="s">
        <v>50</v>
      </c>
      <c r="H22" s="109" t="s">
        <v>32</v>
      </c>
      <c r="I22" s="112" t="s">
        <v>50</v>
      </c>
      <c r="J22" s="109" t="s">
        <v>32</v>
      </c>
      <c r="K22" s="113" t="s">
        <v>33</v>
      </c>
      <c r="L22" s="112" t="s">
        <v>50</v>
      </c>
      <c r="M22" s="109" t="s">
        <v>32</v>
      </c>
      <c r="N22" s="113" t="s">
        <v>33</v>
      </c>
      <c r="O22" s="112" t="s">
        <v>50</v>
      </c>
      <c r="P22" s="109" t="s">
        <v>32</v>
      </c>
      <c r="Q22" s="113" t="s">
        <v>33</v>
      </c>
      <c r="R22" s="112" t="s">
        <v>50</v>
      </c>
      <c r="S22" s="109" t="s">
        <v>32</v>
      </c>
      <c r="T22" s="113" t="s">
        <v>33</v>
      </c>
      <c r="U22" s="112" t="s">
        <v>51</v>
      </c>
      <c r="V22" s="109" t="s">
        <v>32</v>
      </c>
      <c r="W22" s="113" t="s">
        <v>33</v>
      </c>
      <c r="X22" s="112" t="s">
        <v>50</v>
      </c>
      <c r="Y22" s="109" t="s">
        <v>32</v>
      </c>
      <c r="Z22" s="113" t="s">
        <v>33</v>
      </c>
      <c r="AA22" s="112" t="s">
        <v>50</v>
      </c>
      <c r="AB22"/>
      <c r="AC22"/>
      <c r="AD22"/>
    </row>
    <row r="23" spans="1:30" x14ac:dyDescent="0.2">
      <c r="A23" s="64" t="s">
        <v>42</v>
      </c>
      <c r="B23" s="64" t="s">
        <v>77</v>
      </c>
      <c r="C23" s="63"/>
      <c r="D23" s="65"/>
      <c r="E23" s="66"/>
      <c r="F23" s="67"/>
      <c r="G23" s="160"/>
      <c r="H23" s="69"/>
      <c r="I23" s="160"/>
      <c r="J23" s="69"/>
      <c r="K23" s="70"/>
      <c r="L23" s="161"/>
      <c r="M23" s="69"/>
      <c r="N23" s="70"/>
      <c r="O23" s="161"/>
      <c r="P23" s="69"/>
      <c r="Q23" s="70"/>
      <c r="R23" s="161"/>
      <c r="S23" s="71"/>
      <c r="T23" s="72"/>
      <c r="U23" s="66"/>
      <c r="V23" s="71"/>
      <c r="W23" s="73"/>
      <c r="X23" s="74"/>
      <c r="Y23" s="71"/>
      <c r="Z23" s="72"/>
      <c r="AA23" s="68"/>
      <c r="AB23"/>
      <c r="AC23"/>
      <c r="AD23"/>
    </row>
    <row r="24" spans="1:30" x14ac:dyDescent="0.2">
      <c r="A24" s="75">
        <v>2016</v>
      </c>
      <c r="B24" s="76" t="s">
        <v>52</v>
      </c>
      <c r="C24" s="116">
        <f>SUM(G24,I24,L24,X24)</f>
        <v>28641.195561045275</v>
      </c>
      <c r="D24" s="114">
        <v>44500830.719999984</v>
      </c>
      <c r="E24" s="114"/>
      <c r="F24" s="114"/>
      <c r="G24" s="114" cm="1">
        <f t="array" ref="G24:G35">'Monthly Customer Determination'!C4:C15</f>
        <v>25928.663056788315</v>
      </c>
      <c r="H24" s="114"/>
      <c r="I24" s="114" cm="1">
        <f t="array" ref="I24:I35">'Monthly Customer Determination'!C23:C34</f>
        <v>2492.909444110217</v>
      </c>
      <c r="J24" s="114"/>
      <c r="K24" s="114"/>
      <c r="L24" s="114" cm="1">
        <f t="array" ref="L24:L35">'Monthly Customer Determination'!C42:C53</f>
        <v>218.62306014674363</v>
      </c>
      <c r="M24" s="114"/>
      <c r="N24" s="114"/>
      <c r="O24" s="114" cm="1">
        <f t="array" ref="O24:O35">'Monthly Customer Determination'!C61:C72</f>
        <v>36.211430300001588</v>
      </c>
      <c r="P24" s="114"/>
      <c r="Q24" s="114"/>
      <c r="R24" s="114" cm="1">
        <f t="array" ref="R24:R35">'Monthly Customer Determination'!C81:C92</f>
        <v>758.6127528044052</v>
      </c>
      <c r="S24" s="114"/>
      <c r="T24" s="114"/>
      <c r="U24" s="114" cm="1">
        <f t="array" ref="U24:U35">'Monthly Customer Determination'!C101:C112</f>
        <v>5702.4115148081601</v>
      </c>
      <c r="V24" s="114"/>
      <c r="W24" s="114"/>
      <c r="X24" s="114">
        <v>1</v>
      </c>
      <c r="Y24" s="114"/>
      <c r="Z24" s="114"/>
      <c r="AA24" s="114"/>
      <c r="AB24"/>
      <c r="AC24" s="117"/>
      <c r="AD24"/>
    </row>
    <row r="25" spans="1:30" x14ac:dyDescent="0.2">
      <c r="A25" s="75">
        <v>2016</v>
      </c>
      <c r="B25" s="76" t="s">
        <v>53</v>
      </c>
      <c r="C25" s="116">
        <f t="shared" ref="C25:C88" si="0">SUM(G25,I25,L25,X25)</f>
        <v>28649.315698836341</v>
      </c>
      <c r="D25" s="115">
        <v>40982390.300000004</v>
      </c>
      <c r="E25" s="115"/>
      <c r="F25" s="115"/>
      <c r="G25" s="115">
        <v>25937.078844241823</v>
      </c>
      <c r="H25" s="115"/>
      <c r="I25" s="115">
        <v>2493.6524429347601</v>
      </c>
      <c r="J25" s="115"/>
      <c r="K25" s="115"/>
      <c r="L25" s="115">
        <v>217.58441165975728</v>
      </c>
      <c r="M25" s="115"/>
      <c r="N25" s="115"/>
      <c r="O25" s="115">
        <v>36.172901637844774</v>
      </c>
      <c r="P25" s="115"/>
      <c r="Q25" s="115"/>
      <c r="R25" s="115">
        <v>756.48150998025312</v>
      </c>
      <c r="S25" s="115"/>
      <c r="T25" s="80"/>
      <c r="U25" s="115">
        <v>5705.2410996505641</v>
      </c>
      <c r="V25" s="115"/>
      <c r="W25" s="115"/>
      <c r="X25" s="115">
        <v>1</v>
      </c>
      <c r="Y25" s="115"/>
      <c r="Z25" s="115"/>
      <c r="AA25" s="115"/>
      <c r="AB25"/>
      <c r="AC25" s="117"/>
      <c r="AD25"/>
    </row>
    <row r="26" spans="1:30" x14ac:dyDescent="0.2">
      <c r="A26" s="75">
        <v>2016</v>
      </c>
      <c r="B26" s="76" t="s">
        <v>54</v>
      </c>
      <c r="C26" s="116">
        <f t="shared" si="0"/>
        <v>28657.443724103876</v>
      </c>
      <c r="D26" s="115">
        <v>39758543.469999999</v>
      </c>
      <c r="E26" s="115"/>
      <c r="F26" s="115"/>
      <c r="G26" s="115">
        <v>25945.497363246832</v>
      </c>
      <c r="H26" s="115"/>
      <c r="I26" s="115">
        <v>2494.3956632062773</v>
      </c>
      <c r="J26" s="115"/>
      <c r="K26" s="115"/>
      <c r="L26" s="115">
        <v>216.55069765076607</v>
      </c>
      <c r="M26" s="115"/>
      <c r="N26" s="115"/>
      <c r="O26" s="115">
        <v>36.134413969865633</v>
      </c>
      <c r="P26" s="115"/>
      <c r="Q26" s="115"/>
      <c r="R26" s="115">
        <v>754.35625465889314</v>
      </c>
      <c r="S26" s="115"/>
      <c r="T26" s="80"/>
      <c r="U26" s="115">
        <v>5708.0720885569081</v>
      </c>
      <c r="V26" s="115"/>
      <c r="W26" s="115"/>
      <c r="X26" s="115">
        <v>1</v>
      </c>
      <c r="Y26" s="115"/>
      <c r="Z26" s="115"/>
      <c r="AA26" s="115"/>
      <c r="AB26"/>
      <c r="AC26" s="117"/>
      <c r="AD26"/>
    </row>
    <row r="27" spans="1:30" x14ac:dyDescent="0.2">
      <c r="A27" s="75">
        <v>2016</v>
      </c>
      <c r="B27" s="76" t="s">
        <v>55</v>
      </c>
      <c r="C27" s="116">
        <f t="shared" si="0"/>
        <v>28665.579614357437</v>
      </c>
      <c r="D27" s="115">
        <v>36143916.349999994</v>
      </c>
      <c r="E27" s="115"/>
      <c r="F27" s="115"/>
      <c r="G27" s="115">
        <v>25953.918614689934</v>
      </c>
      <c r="H27" s="115"/>
      <c r="I27" s="115">
        <v>2495.1391049907697</v>
      </c>
      <c r="J27" s="115"/>
      <c r="K27" s="115"/>
      <c r="L27" s="115">
        <v>215.52189467673472</v>
      </c>
      <c r="M27" s="115"/>
      <c r="N27" s="115"/>
      <c r="O27" s="115">
        <v>36.095967252446705</v>
      </c>
      <c r="P27" s="115"/>
      <c r="Q27" s="115"/>
      <c r="R27" s="115">
        <v>752.23697001906521</v>
      </c>
      <c r="S27" s="115"/>
      <c r="T27" s="80"/>
      <c r="U27" s="115">
        <v>5710.9044822239011</v>
      </c>
      <c r="V27" s="115"/>
      <c r="W27" s="115"/>
      <c r="X27" s="115">
        <v>1</v>
      </c>
      <c r="Y27" s="115"/>
      <c r="Z27" s="115"/>
      <c r="AA27" s="115"/>
      <c r="AB27"/>
      <c r="AC27" s="117"/>
      <c r="AD27"/>
    </row>
    <row r="28" spans="1:30" x14ac:dyDescent="0.2">
      <c r="A28" s="75">
        <v>2016</v>
      </c>
      <c r="B28" s="76" t="s">
        <v>31</v>
      </c>
      <c r="C28" s="116">
        <f t="shared" si="0"/>
        <v>28673.723347218267</v>
      </c>
      <c r="D28" s="115">
        <v>35571116.150000006</v>
      </c>
      <c r="E28" s="115"/>
      <c r="F28" s="115"/>
      <c r="G28" s="115">
        <v>25962.342599458007</v>
      </c>
      <c r="H28" s="115"/>
      <c r="I28" s="115">
        <v>2495.8827683542581</v>
      </c>
      <c r="J28" s="115"/>
      <c r="K28" s="115"/>
      <c r="L28" s="115">
        <v>214.49797940600268</v>
      </c>
      <c r="M28" s="115"/>
      <c r="N28" s="115"/>
      <c r="O28" s="115">
        <v>36.057561442016933</v>
      </c>
      <c r="P28" s="115"/>
      <c r="Q28" s="115"/>
      <c r="R28" s="115">
        <v>750.12363928676689</v>
      </c>
      <c r="S28" s="115"/>
      <c r="T28" s="80"/>
      <c r="U28" s="115">
        <v>5713.7382813485965</v>
      </c>
      <c r="V28" s="115"/>
      <c r="W28" s="115"/>
      <c r="X28" s="115">
        <v>1</v>
      </c>
      <c r="Y28" s="115"/>
      <c r="Z28" s="115"/>
      <c r="AA28" s="115"/>
      <c r="AB28"/>
      <c r="AC28" s="117"/>
      <c r="AD28"/>
    </row>
    <row r="29" spans="1:30" x14ac:dyDescent="0.2">
      <c r="A29" s="75">
        <v>2016</v>
      </c>
      <c r="B29" s="76" t="s">
        <v>56</v>
      </c>
      <c r="C29" s="116">
        <f t="shared" si="0"/>
        <v>28681.874900418759</v>
      </c>
      <c r="D29" s="115">
        <v>39220373.289999992</v>
      </c>
      <c r="E29" s="115"/>
      <c r="F29" s="115"/>
      <c r="G29" s="115">
        <v>25970.769318438222</v>
      </c>
      <c r="H29" s="115"/>
      <c r="I29" s="115">
        <v>2496.6266533627831</v>
      </c>
      <c r="J29" s="115"/>
      <c r="K29" s="115"/>
      <c r="L29" s="115">
        <v>213.47892861775495</v>
      </c>
      <c r="M29" s="115"/>
      <c r="N29" s="115"/>
      <c r="O29" s="115">
        <v>36.019196495051609</v>
      </c>
      <c r="P29" s="115"/>
      <c r="Q29" s="115"/>
      <c r="R29" s="115">
        <v>748.01624573512049</v>
      </c>
      <c r="S29" s="115"/>
      <c r="T29" s="80"/>
      <c r="U29" s="115">
        <v>5716.5734866283947</v>
      </c>
      <c r="V29" s="115"/>
      <c r="W29" s="115"/>
      <c r="X29" s="115">
        <v>1</v>
      </c>
      <c r="Y29" s="115"/>
      <c r="Z29" s="115"/>
      <c r="AA29" s="115"/>
      <c r="AB29"/>
      <c r="AC29" s="117"/>
      <c r="AD29"/>
    </row>
    <row r="30" spans="1:30" x14ac:dyDescent="0.2">
      <c r="A30" s="75">
        <v>2016</v>
      </c>
      <c r="B30" s="76" t="s">
        <v>57</v>
      </c>
      <c r="C30" s="116">
        <f t="shared" si="0"/>
        <v>28690.034251801935</v>
      </c>
      <c r="D30" s="115">
        <v>47066419.799999982</v>
      </c>
      <c r="E30" s="115"/>
      <c r="F30" s="115"/>
      <c r="G30" s="115">
        <v>25979.198772518033</v>
      </c>
      <c r="H30" s="115"/>
      <c r="I30" s="115">
        <v>2497.370760082405</v>
      </c>
      <c r="J30" s="115"/>
      <c r="K30" s="115"/>
      <c r="L30" s="115">
        <v>212.46471920149543</v>
      </c>
      <c r="M30" s="115"/>
      <c r="N30" s="115"/>
      <c r="O30" s="115">
        <v>35.980872368072355</v>
      </c>
      <c r="P30" s="115"/>
      <c r="Q30" s="115"/>
      <c r="R30" s="115">
        <v>745.9147726842408</v>
      </c>
      <c r="S30" s="115"/>
      <c r="T30" s="80"/>
      <c r="U30" s="115">
        <v>5719.4100987610418</v>
      </c>
      <c r="V30" s="115"/>
      <c r="W30" s="115"/>
      <c r="X30" s="115">
        <v>1</v>
      </c>
      <c r="Y30" s="115"/>
      <c r="Z30" s="115"/>
      <c r="AA30" s="115"/>
      <c r="AB30"/>
      <c r="AC30" s="117"/>
      <c r="AD30"/>
    </row>
    <row r="31" spans="1:30" x14ac:dyDescent="0.2">
      <c r="A31" s="75">
        <v>2016</v>
      </c>
      <c r="B31" s="76" t="s">
        <v>58</v>
      </c>
      <c r="C31" s="116">
        <f t="shared" si="0"/>
        <v>28698.201379320915</v>
      </c>
      <c r="D31" s="115">
        <v>50793950.229999974</v>
      </c>
      <c r="E31" s="115"/>
      <c r="F31" s="115"/>
      <c r="G31" s="115">
        <v>25987.630962585186</v>
      </c>
      <c r="H31" s="115"/>
      <c r="I31" s="115">
        <v>2498.1150885792035</v>
      </c>
      <c r="J31" s="115"/>
      <c r="K31" s="115"/>
      <c r="L31" s="115">
        <v>211.45532815652291</v>
      </c>
      <c r="M31" s="115"/>
      <c r="N31" s="115"/>
      <c r="O31" s="115">
        <v>35.942589017647038</v>
      </c>
      <c r="P31" s="115"/>
      <c r="Q31" s="115"/>
      <c r="R31" s="115">
        <v>743.81920350110295</v>
      </c>
      <c r="S31" s="115"/>
      <c r="T31" s="80"/>
      <c r="U31" s="115">
        <v>5722.2481184446306</v>
      </c>
      <c r="V31" s="115"/>
      <c r="W31" s="115"/>
      <c r="X31" s="115">
        <v>1</v>
      </c>
      <c r="Y31" s="115"/>
      <c r="Z31" s="115"/>
      <c r="AA31" s="115"/>
      <c r="AB31"/>
      <c r="AC31" s="117"/>
      <c r="AD31"/>
    </row>
    <row r="32" spans="1:30" x14ac:dyDescent="0.2">
      <c r="A32" s="75">
        <v>2016</v>
      </c>
      <c r="B32" s="76" t="s">
        <v>59</v>
      </c>
      <c r="C32" s="116">
        <f t="shared" si="0"/>
        <v>28706.3762610384</v>
      </c>
      <c r="D32" s="115">
        <v>39568638.049999982</v>
      </c>
      <c r="E32" s="115"/>
      <c r="F32" s="115"/>
      <c r="G32" s="115">
        <v>25996.065889527712</v>
      </c>
      <c r="H32" s="115"/>
      <c r="I32" s="115">
        <v>2498.859638919278</v>
      </c>
      <c r="J32" s="115"/>
      <c r="K32" s="115"/>
      <c r="L32" s="115">
        <v>210.45073259140935</v>
      </c>
      <c r="M32" s="115"/>
      <c r="N32" s="115"/>
      <c r="O32" s="115">
        <v>35.904346400389748</v>
      </c>
      <c r="P32" s="115"/>
      <c r="Q32" s="115"/>
      <c r="R32" s="115">
        <v>741.72952159941076</v>
      </c>
      <c r="S32" s="115"/>
      <c r="T32" s="80"/>
      <c r="U32" s="115">
        <v>5725.0875463775992</v>
      </c>
      <c r="V32" s="115"/>
      <c r="W32" s="115"/>
      <c r="X32" s="115">
        <v>1</v>
      </c>
      <c r="Y32" s="115"/>
      <c r="Z32" s="115"/>
      <c r="AA32" s="115"/>
      <c r="AB32"/>
      <c r="AC32" s="117"/>
      <c r="AD32"/>
    </row>
    <row r="33" spans="1:30" x14ac:dyDescent="0.2">
      <c r="A33" s="75">
        <v>2016</v>
      </c>
      <c r="B33" s="76" t="s">
        <v>60</v>
      </c>
      <c r="C33" s="116">
        <f t="shared" si="0"/>
        <v>28714.55887512616</v>
      </c>
      <c r="D33" s="115">
        <v>35855555.68999996</v>
      </c>
      <c r="E33" s="115"/>
      <c r="F33" s="115"/>
      <c r="G33" s="115">
        <v>26004.503554233932</v>
      </c>
      <c r="H33" s="115"/>
      <c r="I33" s="115">
        <v>2499.6044111687479</v>
      </c>
      <c r="J33" s="115"/>
      <c r="K33" s="115"/>
      <c r="L33" s="115">
        <v>209.45090972348081</v>
      </c>
      <c r="M33" s="115"/>
      <c r="N33" s="115"/>
      <c r="O33" s="115">
        <v>35.866144472960727</v>
      </c>
      <c r="P33" s="115"/>
      <c r="Q33" s="115"/>
      <c r="R33" s="115">
        <v>739.64571043946569</v>
      </c>
      <c r="S33" s="115"/>
      <c r="T33" s="80"/>
      <c r="U33" s="115">
        <v>5727.9283832587325</v>
      </c>
      <c r="V33" s="115"/>
      <c r="W33" s="115"/>
      <c r="X33" s="115">
        <v>1</v>
      </c>
      <c r="Y33" s="115"/>
      <c r="Z33" s="115"/>
      <c r="AA33" s="115"/>
      <c r="AB33"/>
      <c r="AC33" s="117"/>
      <c r="AD33"/>
    </row>
    <row r="34" spans="1:30" x14ac:dyDescent="0.2">
      <c r="A34" s="75">
        <v>2016</v>
      </c>
      <c r="B34" s="76" t="s">
        <v>61</v>
      </c>
      <c r="C34" s="116">
        <f t="shared" si="0"/>
        <v>28722.749199864502</v>
      </c>
      <c r="D34" s="115">
        <v>36559281.450000003</v>
      </c>
      <c r="E34" s="115"/>
      <c r="F34" s="115"/>
      <c r="G34" s="115">
        <v>26012.943957592452</v>
      </c>
      <c r="H34" s="115"/>
      <c r="I34" s="115">
        <v>2500.349405393752</v>
      </c>
      <c r="J34" s="115"/>
      <c r="K34" s="115"/>
      <c r="L34" s="115">
        <v>208.45583687830069</v>
      </c>
      <c r="M34" s="115"/>
      <c r="N34" s="115"/>
      <c r="O34" s="115">
        <v>35.827983192066334</v>
      </c>
      <c r="P34" s="115"/>
      <c r="Q34" s="115"/>
      <c r="R34" s="115">
        <v>737.5677535280355</v>
      </c>
      <c r="S34" s="115"/>
      <c r="T34" s="80"/>
      <c r="U34" s="115">
        <v>5730.7706297871628</v>
      </c>
      <c r="V34" s="115"/>
      <c r="W34" s="115"/>
      <c r="X34" s="115">
        <v>1</v>
      </c>
      <c r="Y34" s="115"/>
      <c r="Z34" s="115"/>
      <c r="AA34" s="115"/>
      <c r="AB34"/>
      <c r="AC34" s="117"/>
      <c r="AD34"/>
    </row>
    <row r="35" spans="1:30" x14ac:dyDescent="0.2">
      <c r="A35" s="75">
        <v>2016</v>
      </c>
      <c r="B35" s="76" t="s">
        <v>62</v>
      </c>
      <c r="C35" s="116">
        <f t="shared" si="0"/>
        <v>28730.947213641775</v>
      </c>
      <c r="D35" s="115">
        <v>42534516.759999998</v>
      </c>
      <c r="E35" s="115"/>
      <c r="F35" s="115">
        <f>Averages!B18</f>
        <v>202182964.05000001</v>
      </c>
      <c r="G35" s="115">
        <v>26021.387100492171</v>
      </c>
      <c r="H35" s="115">
        <f>Averages!D18</f>
        <v>69095397.390000001</v>
      </c>
      <c r="I35" s="115">
        <v>2501.0946216604493</v>
      </c>
      <c r="J35" s="115">
        <f>Averages!F18</f>
        <v>185839670.57999998</v>
      </c>
      <c r="K35" s="115">
        <f>Averages!G18</f>
        <v>580036.22</v>
      </c>
      <c r="L35" s="115">
        <v>207.4654914891556</v>
      </c>
      <c r="M35" s="115">
        <f>Averages!I18</f>
        <v>1416419.3800000001</v>
      </c>
      <c r="N35" s="150"/>
      <c r="O35" s="115">
        <v>35.789862514458996</v>
      </c>
      <c r="P35" s="115">
        <f>Averages!K18</f>
        <v>667141.85</v>
      </c>
      <c r="Q35" s="115">
        <f>Averages!L18</f>
        <v>2173.14</v>
      </c>
      <c r="R35" s="115">
        <v>735.4956344182242</v>
      </c>
      <c r="S35" s="115">
        <f>Averages!N18</f>
        <v>2159285.8400000003</v>
      </c>
      <c r="T35" s="115">
        <f>Averages!O18</f>
        <v>6413.35</v>
      </c>
      <c r="U35" s="115">
        <v>5733.6142866623695</v>
      </c>
      <c r="V35" s="115">
        <f>Averages!Q18</f>
        <v>5604942.4199999999</v>
      </c>
      <c r="W35" s="115">
        <f>Averages!R18</f>
        <v>16375.72</v>
      </c>
      <c r="X35" s="115">
        <f>Averages!S18</f>
        <v>1</v>
      </c>
      <c r="Y35" s="115"/>
      <c r="Z35" s="115"/>
      <c r="AA35" s="115"/>
      <c r="AB35"/>
      <c r="AC35" s="117"/>
      <c r="AD35"/>
    </row>
    <row r="36" spans="1:30" x14ac:dyDescent="0.2">
      <c r="A36" s="75">
        <v>2017</v>
      </c>
      <c r="B36" s="76" t="s">
        <v>52</v>
      </c>
      <c r="C36" s="116">
        <f t="shared" si="0"/>
        <v>28747.211249535372</v>
      </c>
      <c r="D36" s="114">
        <v>43062641.590000018</v>
      </c>
      <c r="E36" s="114"/>
      <c r="F36" s="114"/>
      <c r="G36" s="114" cm="1">
        <f t="array" ref="G36:G47">'Monthly Customer Determination'!D4:D15</f>
        <v>26037.90442833471</v>
      </c>
      <c r="H36" s="114"/>
      <c r="I36" s="114" cm="1">
        <f t="array" ref="I36:I47">'Monthly Customer Determination'!D23:D34</f>
        <v>2501.6949205088295</v>
      </c>
      <c r="J36" s="114"/>
      <c r="K36" s="114"/>
      <c r="L36" s="114" cm="1">
        <f t="array" ref="L36:L47">'Monthly Customer Determination'!D42:D53</f>
        <v>206.61190069183152</v>
      </c>
      <c r="M36" s="114"/>
      <c r="N36" s="114"/>
      <c r="O36" s="114" cm="1">
        <f t="array" ref="O36:O47">'Monthly Customer Determination'!D61:D72</f>
        <v>36.789236151630753</v>
      </c>
      <c r="P36" s="114"/>
      <c r="Q36" s="114"/>
      <c r="R36" s="114" cm="1">
        <f t="array" ref="R36:R47">'Monthly Customer Determination'!D81:D92</f>
        <v>732.92519128803076</v>
      </c>
      <c r="S36" s="114"/>
      <c r="T36" s="78"/>
      <c r="U36" s="114" cm="1">
        <f t="array" ref="U36:U47">'Monthly Customer Determination'!D101:D112</f>
        <v>5734.4424192328916</v>
      </c>
      <c r="V36" s="114"/>
      <c r="W36" s="114"/>
      <c r="X36" s="114">
        <v>1</v>
      </c>
      <c r="Y36" s="114"/>
      <c r="Z36" s="114"/>
      <c r="AA36" s="114"/>
      <c r="AB36"/>
      <c r="AC36" s="117"/>
      <c r="AD36"/>
    </row>
    <row r="37" spans="1:30" x14ac:dyDescent="0.2">
      <c r="A37" s="75">
        <v>2017</v>
      </c>
      <c r="B37" s="76" t="s">
        <v>53</v>
      </c>
      <c r="C37" s="116">
        <f t="shared" si="0"/>
        <v>28763.489426035911</v>
      </c>
      <c r="D37" s="115">
        <v>37522207.099999994</v>
      </c>
      <c r="E37" s="115"/>
      <c r="F37" s="115"/>
      <c r="G37" s="115">
        <v>26054.4322407113</v>
      </c>
      <c r="H37" s="115"/>
      <c r="I37" s="115">
        <v>2502.2953634376072</v>
      </c>
      <c r="J37" s="115"/>
      <c r="K37" s="115"/>
      <c r="L37" s="115">
        <v>205.76182188700341</v>
      </c>
      <c r="M37" s="115"/>
      <c r="N37" s="115"/>
      <c r="O37" s="115">
        <v>37.816515670426682</v>
      </c>
      <c r="P37" s="115"/>
      <c r="Q37" s="115"/>
      <c r="R37" s="115">
        <v>730.36373145777327</v>
      </c>
      <c r="S37" s="115"/>
      <c r="T37" s="80"/>
      <c r="U37" s="115">
        <v>5735.2706714144515</v>
      </c>
      <c r="V37" s="115"/>
      <c r="W37" s="115"/>
      <c r="X37" s="115">
        <v>1</v>
      </c>
      <c r="Y37" s="115"/>
      <c r="Z37" s="115"/>
      <c r="AA37" s="115"/>
      <c r="AB37"/>
      <c r="AC37" s="117"/>
      <c r="AD37"/>
    </row>
    <row r="38" spans="1:30" x14ac:dyDescent="0.2">
      <c r="A38" s="75">
        <v>2017</v>
      </c>
      <c r="B38" s="76" t="s">
        <v>54</v>
      </c>
      <c r="C38" s="116">
        <f t="shared" si="0"/>
        <v>28779.78173538348</v>
      </c>
      <c r="D38" s="115">
        <v>41370878.749999993</v>
      </c>
      <c r="E38" s="115"/>
      <c r="F38" s="115"/>
      <c r="G38" s="115">
        <v>26070.970544277097</v>
      </c>
      <c r="H38" s="115"/>
      <c r="I38" s="115">
        <v>2502.8959504813638</v>
      </c>
      <c r="J38" s="115"/>
      <c r="K38" s="115"/>
      <c r="L38" s="115">
        <v>204.91524062501767</v>
      </c>
      <c r="M38" s="115"/>
      <c r="N38" s="115"/>
      <c r="O38" s="115">
        <v>38.872480297154397</v>
      </c>
      <c r="P38" s="115"/>
      <c r="Q38" s="115"/>
      <c r="R38" s="115">
        <v>727.81122353221213</v>
      </c>
      <c r="S38" s="115"/>
      <c r="T38" s="80"/>
      <c r="U38" s="115">
        <v>5736.0990432243252</v>
      </c>
      <c r="V38" s="115"/>
      <c r="W38" s="115"/>
      <c r="X38" s="115">
        <v>1</v>
      </c>
      <c r="Y38" s="115"/>
      <c r="Z38" s="115"/>
      <c r="AA38" s="115"/>
      <c r="AB38"/>
      <c r="AC38" s="117"/>
      <c r="AD38"/>
    </row>
    <row r="39" spans="1:30" x14ac:dyDescent="0.2">
      <c r="A39" s="75">
        <v>2017</v>
      </c>
      <c r="B39" s="76" t="s">
        <v>55</v>
      </c>
      <c r="C39" s="116">
        <f t="shared" si="0"/>
        <v>28796.088169881848</v>
      </c>
      <c r="D39" s="115">
        <v>35639117.619999968</v>
      </c>
      <c r="E39" s="115"/>
      <c r="F39" s="115"/>
      <c r="G39" s="115">
        <v>26087.519345691486</v>
      </c>
      <c r="H39" s="115"/>
      <c r="I39" s="115">
        <v>2503.4966816746887</v>
      </c>
      <c r="J39" s="115"/>
      <c r="K39" s="115"/>
      <c r="L39" s="115">
        <v>204.07214251567208</v>
      </c>
      <c r="M39" s="115"/>
      <c r="N39" s="115"/>
      <c r="O39" s="115">
        <v>39.957931016747416</v>
      </c>
      <c r="P39" s="115"/>
      <c r="Q39" s="115"/>
      <c r="R39" s="115">
        <v>725.26763622582939</v>
      </c>
      <c r="S39" s="115"/>
      <c r="T39" s="80"/>
      <c r="U39" s="115">
        <v>5736.9275346797913</v>
      </c>
      <c r="V39" s="115"/>
      <c r="W39" s="115"/>
      <c r="X39" s="115">
        <v>1</v>
      </c>
      <c r="Y39" s="115"/>
      <c r="Z39" s="115"/>
      <c r="AA39" s="115"/>
      <c r="AB39"/>
      <c r="AC39" s="117"/>
      <c r="AD39"/>
    </row>
    <row r="40" spans="1:30" x14ac:dyDescent="0.2">
      <c r="A40" s="75">
        <v>2017</v>
      </c>
      <c r="B40" s="76" t="s">
        <v>31</v>
      </c>
      <c r="C40" s="116">
        <f t="shared" si="0"/>
        <v>28812.408721898231</v>
      </c>
      <c r="D40" s="115">
        <v>36632679.980000012</v>
      </c>
      <c r="E40" s="115"/>
      <c r="F40" s="115"/>
      <c r="G40" s="115">
        <v>26104.078651618081</v>
      </c>
      <c r="H40" s="115"/>
      <c r="I40" s="115">
        <v>2504.0975570521805</v>
      </c>
      <c r="J40" s="115"/>
      <c r="K40" s="115"/>
      <c r="L40" s="115">
        <v>203.23251322797105</v>
      </c>
      <c r="M40" s="115"/>
      <c r="N40" s="115"/>
      <c r="O40" s="115">
        <v>41.073691180339331</v>
      </c>
      <c r="P40" s="115"/>
      <c r="Q40" s="115"/>
      <c r="R40" s="115">
        <v>722.73293836244511</v>
      </c>
      <c r="S40" s="115"/>
      <c r="T40" s="80"/>
      <c r="U40" s="115">
        <v>5737.7561457981301</v>
      </c>
      <c r="V40" s="115"/>
      <c r="W40" s="115"/>
      <c r="X40" s="115">
        <v>1</v>
      </c>
      <c r="Y40" s="115"/>
      <c r="Z40" s="115"/>
      <c r="AA40" s="115"/>
      <c r="AB40"/>
      <c r="AC40" s="117"/>
      <c r="AD40"/>
    </row>
    <row r="41" spans="1:30" x14ac:dyDescent="0.2">
      <c r="A41" s="75">
        <v>2017</v>
      </c>
      <c r="B41" s="76" t="s">
        <v>56</v>
      </c>
      <c r="C41" s="116">
        <f t="shared" si="0"/>
        <v>28828.743383863046</v>
      </c>
      <c r="D41" s="115">
        <v>38109511.749999993</v>
      </c>
      <c r="E41" s="115"/>
      <c r="F41" s="115"/>
      <c r="G41" s="115">
        <v>26120.648468724721</v>
      </c>
      <c r="H41" s="115"/>
      <c r="I41" s="115">
        <v>2504.6985766484449</v>
      </c>
      <c r="J41" s="115"/>
      <c r="K41" s="115"/>
      <c r="L41" s="115">
        <v>202.39633848988211</v>
      </c>
      <c r="M41" s="115"/>
      <c r="N41" s="115"/>
      <c r="O41" s="115">
        <v>42.220607129803568</v>
      </c>
      <c r="P41" s="115"/>
      <c r="Q41" s="115"/>
      <c r="R41" s="115">
        <v>720.2070988748352</v>
      </c>
      <c r="S41" s="115"/>
      <c r="T41" s="80"/>
      <c r="U41" s="115">
        <v>5738.5848765966257</v>
      </c>
      <c r="V41" s="115"/>
      <c r="W41" s="115"/>
      <c r="X41" s="115">
        <v>1</v>
      </c>
      <c r="Y41" s="115"/>
      <c r="Z41" s="115"/>
      <c r="AA41" s="115"/>
      <c r="AB41"/>
      <c r="AC41" s="117"/>
      <c r="AD41"/>
    </row>
    <row r="42" spans="1:30" x14ac:dyDescent="0.2">
      <c r="A42" s="75">
        <v>2017</v>
      </c>
      <c r="B42" s="76" t="s">
        <v>57</v>
      </c>
      <c r="C42" s="116">
        <f t="shared" si="0"/>
        <v>28845.092148269669</v>
      </c>
      <c r="D42" s="115">
        <v>43845120.699999988</v>
      </c>
      <c r="E42" s="115"/>
      <c r="F42" s="115"/>
      <c r="G42" s="115">
        <v>26137.22880368348</v>
      </c>
      <c r="H42" s="115"/>
      <c r="I42" s="115">
        <v>2505.299740498097</v>
      </c>
      <c r="J42" s="115"/>
      <c r="K42" s="115"/>
      <c r="L42" s="115">
        <v>201.56360408809326</v>
      </c>
      <c r="M42" s="115"/>
      <c r="N42" s="115"/>
      <c r="O42" s="115">
        <v>43.399548839732333</v>
      </c>
      <c r="P42" s="115"/>
      <c r="Q42" s="115"/>
      <c r="R42" s="115">
        <v>717.69008680435059</v>
      </c>
      <c r="S42" s="115"/>
      <c r="T42" s="80"/>
      <c r="U42" s="115">
        <v>5739.4137270925639</v>
      </c>
      <c r="V42" s="115"/>
      <c r="W42" s="115"/>
      <c r="X42" s="115">
        <v>1</v>
      </c>
      <c r="Y42" s="115"/>
      <c r="Z42" s="115"/>
      <c r="AA42" s="115"/>
      <c r="AB42"/>
      <c r="AC42" s="117"/>
      <c r="AD42"/>
    </row>
    <row r="43" spans="1:30" x14ac:dyDescent="0.2">
      <c r="A43" s="75">
        <v>2017</v>
      </c>
      <c r="B43" s="76" t="s">
        <v>58</v>
      </c>
      <c r="C43" s="116">
        <f t="shared" si="0"/>
        <v>28861.455007674194</v>
      </c>
      <c r="D43" s="115">
        <v>43171748.199999966</v>
      </c>
      <c r="E43" s="115"/>
      <c r="F43" s="115"/>
      <c r="G43" s="115">
        <v>26153.819663170663</v>
      </c>
      <c r="H43" s="115"/>
      <c r="I43" s="115">
        <v>2505.9010486357593</v>
      </c>
      <c r="J43" s="115"/>
      <c r="K43" s="115"/>
      <c r="L43" s="115">
        <v>200.73429586777141</v>
      </c>
      <c r="M43" s="115"/>
      <c r="N43" s="115"/>
      <c r="O43" s="115">
        <v>44.611410577341807</v>
      </c>
      <c r="P43" s="115"/>
      <c r="Q43" s="115"/>
      <c r="R43" s="115">
        <v>715.18187130053809</v>
      </c>
      <c r="S43" s="115"/>
      <c r="T43" s="80"/>
      <c r="U43" s="115">
        <v>5740.2426973032325</v>
      </c>
      <c r="V43" s="115"/>
      <c r="W43" s="115"/>
      <c r="X43" s="115">
        <v>1</v>
      </c>
      <c r="Y43" s="115"/>
      <c r="Z43" s="115"/>
      <c r="AA43" s="115"/>
      <c r="AB43"/>
      <c r="AC43" s="117"/>
      <c r="AD43"/>
    </row>
    <row r="44" spans="1:30" x14ac:dyDescent="0.2">
      <c r="A44" s="75">
        <v>2017</v>
      </c>
      <c r="B44" s="76" t="s">
        <v>59</v>
      </c>
      <c r="C44" s="116">
        <f t="shared" si="0"/>
        <v>28877.831954695208</v>
      </c>
      <c r="D44" s="115">
        <v>38578980.680000037</v>
      </c>
      <c r="E44" s="115"/>
      <c r="F44" s="115"/>
      <c r="G44" s="115">
        <v>26170.421053866823</v>
      </c>
      <c r="H44" s="115"/>
      <c r="I44" s="115">
        <v>2506.502501096063</v>
      </c>
      <c r="J44" s="115"/>
      <c r="K44" s="115"/>
      <c r="L44" s="115">
        <v>199.90839973232175</v>
      </c>
      <c r="M44" s="115"/>
      <c r="N44" s="115"/>
      <c r="O44" s="115">
        <v>45.857111580804144</v>
      </c>
      <c r="P44" s="115"/>
      <c r="Q44" s="115"/>
      <c r="R44" s="115">
        <v>712.68242162076194</v>
      </c>
      <c r="S44" s="115"/>
      <c r="T44" s="80"/>
      <c r="U44" s="115">
        <v>5741.0717872459236</v>
      </c>
      <c r="V44" s="115"/>
      <c r="W44" s="115"/>
      <c r="X44" s="115">
        <v>1</v>
      </c>
      <c r="Y44" s="115"/>
      <c r="Z44" s="115"/>
      <c r="AA44" s="115"/>
      <c r="AB44"/>
      <c r="AC44" s="117"/>
      <c r="AD44"/>
    </row>
    <row r="45" spans="1:30" x14ac:dyDescent="0.2">
      <c r="A45" s="75">
        <v>2017</v>
      </c>
      <c r="B45" s="76" t="s">
        <v>60</v>
      </c>
      <c r="C45" s="116">
        <f t="shared" si="0"/>
        <v>28894.22298201354</v>
      </c>
      <c r="D45" s="115">
        <v>35892870.779999956</v>
      </c>
      <c r="E45" s="115"/>
      <c r="F45" s="115"/>
      <c r="G45" s="115">
        <v>26187.032982456742</v>
      </c>
      <c r="H45" s="115"/>
      <c r="I45" s="115">
        <v>2507.1040979136478</v>
      </c>
      <c r="J45" s="115"/>
      <c r="K45" s="115"/>
      <c r="L45" s="115">
        <v>199.08590164314816</v>
      </c>
      <c r="M45" s="115"/>
      <c r="N45" s="115"/>
      <c r="O45" s="115">
        <v>47.137596756520729</v>
      </c>
      <c r="P45" s="115"/>
      <c r="Q45" s="115"/>
      <c r="R45" s="115">
        <v>710.19170712982714</v>
      </c>
      <c r="S45" s="115"/>
      <c r="T45" s="80"/>
      <c r="U45" s="115">
        <v>5741.9009969379294</v>
      </c>
      <c r="V45" s="115"/>
      <c r="W45" s="115"/>
      <c r="X45" s="115">
        <v>1</v>
      </c>
      <c r="Y45" s="115"/>
      <c r="Z45" s="115"/>
      <c r="AA45" s="115"/>
      <c r="AB45"/>
      <c r="AC45" s="117"/>
      <c r="AD45"/>
    </row>
    <row r="46" spans="1:30" x14ac:dyDescent="0.2">
      <c r="A46" s="75">
        <v>2017</v>
      </c>
      <c r="B46" s="76" t="s">
        <v>61</v>
      </c>
      <c r="C46" s="116">
        <f t="shared" si="0"/>
        <v>28910.628082372026</v>
      </c>
      <c r="D46" s="115">
        <v>38713504.909999996</v>
      </c>
      <c r="E46" s="115"/>
      <c r="F46" s="115"/>
      <c r="G46" s="115">
        <v>26203.65545562945</v>
      </c>
      <c r="H46" s="115"/>
      <c r="I46" s="115">
        <v>2507.7058391231617</v>
      </c>
      <c r="J46" s="115"/>
      <c r="K46" s="115"/>
      <c r="L46" s="115">
        <v>198.26678761941454</v>
      </c>
      <c r="M46" s="115"/>
      <c r="N46" s="115"/>
      <c r="O46" s="115">
        <v>48.45383739586569</v>
      </c>
      <c r="P46" s="115"/>
      <c r="Q46" s="115"/>
      <c r="R46" s="115">
        <v>707.70969729960404</v>
      </c>
      <c r="S46" s="115"/>
      <c r="T46" s="80"/>
      <c r="U46" s="115">
        <v>5742.7303263965468</v>
      </c>
      <c r="V46" s="115"/>
      <c r="W46" s="115"/>
      <c r="X46" s="115">
        <v>1</v>
      </c>
      <c r="Y46" s="115"/>
      <c r="Z46" s="115"/>
      <c r="AA46" s="115"/>
      <c r="AB46"/>
      <c r="AC46" s="117"/>
      <c r="AD46"/>
    </row>
    <row r="47" spans="1:30" x14ac:dyDescent="0.2">
      <c r="A47" s="75">
        <v>2017</v>
      </c>
      <c r="B47" s="76" t="s">
        <v>62</v>
      </c>
      <c r="C47" s="116">
        <f t="shared" si="0"/>
        <v>28927.047248575294</v>
      </c>
      <c r="D47" s="115">
        <v>43791007.450000025</v>
      </c>
      <c r="E47" s="115"/>
      <c r="F47" s="115">
        <f>Averages!B19</f>
        <v>192333396.59142745</v>
      </c>
      <c r="G47" s="115">
        <v>26220.288480078227</v>
      </c>
      <c r="H47" s="115">
        <f>Averages!D19</f>
        <v>66385178.073323995</v>
      </c>
      <c r="I47" s="115">
        <v>2508.3077247592605</v>
      </c>
      <c r="J47" s="115">
        <f>Averages!F19</f>
        <v>185980426.04825354</v>
      </c>
      <c r="K47" s="115">
        <f>Averages!G19</f>
        <v>588371.79999999993</v>
      </c>
      <c r="L47" s="115">
        <v>197.4510437378072</v>
      </c>
      <c r="M47" s="115">
        <f>Averages!I19</f>
        <v>1308270.2299999995</v>
      </c>
      <c r="N47" s="115"/>
      <c r="O47" s="115">
        <v>49.806831911943313</v>
      </c>
      <c r="P47" s="115">
        <f>Averages!K19</f>
        <v>631149.96201329515</v>
      </c>
      <c r="Q47" s="115">
        <f>Averages!L19</f>
        <v>2037.9700000000007</v>
      </c>
      <c r="R47" s="115">
        <v>705.23636170865393</v>
      </c>
      <c r="S47" s="115">
        <f>Averages!N19</f>
        <v>1392668.2526115859</v>
      </c>
      <c r="T47" s="115">
        <f>Averages!O19</f>
        <v>4209.0200000000004</v>
      </c>
      <c r="U47" s="115">
        <v>5743.5597756390744</v>
      </c>
      <c r="V47" s="115">
        <f>Averages!Q19</f>
        <v>4768119.9723423496</v>
      </c>
      <c r="W47" s="115">
        <f>Averages!R19</f>
        <v>12501.41</v>
      </c>
      <c r="X47" s="115">
        <v>1</v>
      </c>
      <c r="Y47" s="115"/>
      <c r="Z47" s="115"/>
      <c r="AA47" s="115"/>
      <c r="AB47"/>
      <c r="AC47" s="117"/>
      <c r="AD47"/>
    </row>
    <row r="48" spans="1:30" x14ac:dyDescent="0.2">
      <c r="A48" s="75">
        <v>2018</v>
      </c>
      <c r="B48" s="76" t="s">
        <v>52</v>
      </c>
      <c r="C48" s="116">
        <f t="shared" si="0"/>
        <v>28945.13763605143</v>
      </c>
      <c r="D48" s="114">
        <v>47052385.459999971</v>
      </c>
      <c r="E48" s="114"/>
      <c r="F48" s="114"/>
      <c r="G48" s="114" cm="1">
        <f t="array" ref="G48:G59">'Monthly Customer Determination'!E4:E15</f>
        <v>26239.729610088143</v>
      </c>
      <c r="H48" s="114"/>
      <c r="I48" s="114" cm="1">
        <f t="array" ref="I48:I59">'Monthly Customer Determination'!E23:E34</f>
        <v>2506.87276123634</v>
      </c>
      <c r="J48" s="114"/>
      <c r="K48" s="114"/>
      <c r="L48" s="114" cm="1">
        <f t="array" ref="L48:L59">'Monthly Customer Determination'!E42:E53</f>
        <v>197.53526472694514</v>
      </c>
      <c r="M48" s="114"/>
      <c r="N48" s="114"/>
      <c r="O48" s="114" cm="1">
        <f t="array" ref="O48:O59">'Monthly Customer Determination'!E61:E72</f>
        <v>49.681651434164174</v>
      </c>
      <c r="P48" s="114"/>
      <c r="Q48" s="114"/>
      <c r="R48" s="114" cm="1">
        <f t="array" ref="R48:R59">'Monthly Customer Determination'!E81:E92</f>
        <v>704.73719451867589</v>
      </c>
      <c r="S48" s="114"/>
      <c r="T48" s="78"/>
      <c r="U48" s="114" cm="1">
        <f t="array" ref="U48:U59">'Monthly Customer Determination'!E101:E112</f>
        <v>5745.9315998827569</v>
      </c>
      <c r="V48" s="114"/>
      <c r="W48" s="114"/>
      <c r="X48" s="114">
        <v>1</v>
      </c>
      <c r="Y48" s="114"/>
      <c r="Z48" s="114"/>
      <c r="AA48" s="114"/>
      <c r="AB48"/>
      <c r="AC48" s="117"/>
      <c r="AD48"/>
    </row>
    <row r="49" spans="1:30" x14ac:dyDescent="0.2">
      <c r="A49" s="75">
        <v>2018</v>
      </c>
      <c r="B49" s="76" t="s">
        <v>53</v>
      </c>
      <c r="C49" s="116">
        <f t="shared" si="0"/>
        <v>28963.243295069264</v>
      </c>
      <c r="D49" s="115">
        <v>39540897.230000019</v>
      </c>
      <c r="E49" s="115"/>
      <c r="F49" s="115"/>
      <c r="G49" s="115">
        <v>26259.185154795912</v>
      </c>
      <c r="H49" s="115"/>
      <c r="I49" s="115">
        <v>2505.4386186335528</v>
      </c>
      <c r="J49" s="115"/>
      <c r="K49" s="115"/>
      <c r="L49" s="115">
        <v>197.61952163979805</v>
      </c>
      <c r="M49" s="115"/>
      <c r="N49" s="115"/>
      <c r="O49" s="115">
        <v>49.556785574910556</v>
      </c>
      <c r="P49" s="115"/>
      <c r="Q49" s="115"/>
      <c r="R49" s="115">
        <v>704.23838063986705</v>
      </c>
      <c r="S49" s="115"/>
      <c r="T49" s="80"/>
      <c r="U49" s="115">
        <v>5748.3044035800303</v>
      </c>
      <c r="V49" s="115"/>
      <c r="W49" s="115"/>
      <c r="X49" s="115">
        <v>1</v>
      </c>
      <c r="Y49" s="115"/>
      <c r="Z49" s="115"/>
      <c r="AA49" s="115"/>
      <c r="AB49"/>
      <c r="AC49" s="117"/>
      <c r="AD49"/>
    </row>
    <row r="50" spans="1:30" x14ac:dyDescent="0.2">
      <c r="A50" s="75">
        <v>2018</v>
      </c>
      <c r="B50" s="76" t="s">
        <v>54</v>
      </c>
      <c r="C50" s="116">
        <f t="shared" si="0"/>
        <v>28981.364235862318</v>
      </c>
      <c r="D50" s="115">
        <v>41548740.249999993</v>
      </c>
      <c r="E50" s="115"/>
      <c r="F50" s="115"/>
      <c r="G50" s="115">
        <v>26278.655124889367</v>
      </c>
      <c r="H50" s="115"/>
      <c r="I50" s="115">
        <v>2504.0052964812635</v>
      </c>
      <c r="J50" s="115"/>
      <c r="K50" s="115"/>
      <c r="L50" s="115">
        <v>197.70381449168886</v>
      </c>
      <c r="M50" s="115"/>
      <c r="N50" s="115"/>
      <c r="O50" s="115">
        <v>49.432233543445612</v>
      </c>
      <c r="P50" s="115"/>
      <c r="Q50" s="115"/>
      <c r="R50" s="115">
        <v>703.73991982215341</v>
      </c>
      <c r="S50" s="115"/>
      <c r="T50" s="80"/>
      <c r="U50" s="115">
        <v>5750.6781871353624</v>
      </c>
      <c r="V50" s="115"/>
      <c r="W50" s="115"/>
      <c r="X50" s="115">
        <v>1</v>
      </c>
      <c r="Y50" s="115"/>
      <c r="Z50" s="115"/>
      <c r="AA50" s="115"/>
      <c r="AB50"/>
      <c r="AC50" s="117"/>
      <c r="AD50"/>
    </row>
    <row r="51" spans="1:30" x14ac:dyDescent="0.2">
      <c r="A51" s="75">
        <v>2018</v>
      </c>
      <c r="B51" s="76" t="s">
        <v>55</v>
      </c>
      <c r="C51" s="116">
        <f t="shared" si="0"/>
        <v>28999.500468672315</v>
      </c>
      <c r="D51" s="115">
        <v>38285930.12999998</v>
      </c>
      <c r="E51" s="115"/>
      <c r="F51" s="115"/>
      <c r="G51" s="115">
        <v>26298.139531064262</v>
      </c>
      <c r="H51" s="115"/>
      <c r="I51" s="115">
        <v>2502.5727943101051</v>
      </c>
      <c r="J51" s="115"/>
      <c r="K51" s="115"/>
      <c r="L51" s="115">
        <v>197.78814329794702</v>
      </c>
      <c r="M51" s="115"/>
      <c r="N51" s="115"/>
      <c r="O51" s="115">
        <v>49.30799455101986</v>
      </c>
      <c r="P51" s="115"/>
      <c r="Q51" s="115"/>
      <c r="R51" s="115">
        <v>703.24181181563779</v>
      </c>
      <c r="S51" s="115"/>
      <c r="T51" s="80"/>
      <c r="U51" s="115">
        <v>5753.0529509533899</v>
      </c>
      <c r="V51" s="115"/>
      <c r="W51" s="115"/>
      <c r="X51" s="115">
        <v>1</v>
      </c>
      <c r="Y51" s="115"/>
      <c r="Z51" s="115"/>
      <c r="AA51" s="115"/>
      <c r="AB51"/>
      <c r="AC51" s="117"/>
      <c r="AD51"/>
    </row>
    <row r="52" spans="1:30" x14ac:dyDescent="0.2">
      <c r="A52" s="75">
        <v>2018</v>
      </c>
      <c r="B52" s="76" t="s">
        <v>31</v>
      </c>
      <c r="C52" s="116">
        <f t="shared" si="0"/>
        <v>29017.652003749172</v>
      </c>
      <c r="D52" s="115">
        <v>36063657.63000001</v>
      </c>
      <c r="E52" s="115"/>
      <c r="F52" s="115"/>
      <c r="G52" s="115">
        <v>26317.638384024282</v>
      </c>
      <c r="H52" s="115"/>
      <c r="I52" s="115">
        <v>2501.1411116509794</v>
      </c>
      <c r="J52" s="115"/>
      <c r="K52" s="115"/>
      <c r="L52" s="115">
        <v>197.87250807390856</v>
      </c>
      <c r="M52" s="115"/>
      <c r="N52" s="115"/>
      <c r="O52" s="115">
        <v>49.18406781086621</v>
      </c>
      <c r="P52" s="115"/>
      <c r="Q52" s="115"/>
      <c r="R52" s="115">
        <v>702.74405637059999</v>
      </c>
      <c r="S52" s="115"/>
      <c r="T52" s="80"/>
      <c r="U52" s="115">
        <v>5755.4286954389154</v>
      </c>
      <c r="V52" s="115"/>
      <c r="W52" s="115"/>
      <c r="X52" s="115">
        <v>1</v>
      </c>
      <c r="Y52" s="115"/>
      <c r="Z52" s="115"/>
      <c r="AA52" s="115"/>
      <c r="AB52"/>
      <c r="AC52" s="117"/>
      <c r="AD52"/>
    </row>
    <row r="53" spans="1:30" x14ac:dyDescent="0.2">
      <c r="A53" s="75">
        <v>2018</v>
      </c>
      <c r="B53" s="76" t="s">
        <v>56</v>
      </c>
      <c r="C53" s="116">
        <f t="shared" si="0"/>
        <v>29035.818851351021</v>
      </c>
      <c r="D53" s="115">
        <v>38564071.070000008</v>
      </c>
      <c r="E53" s="115"/>
      <c r="F53" s="115"/>
      <c r="G53" s="115">
        <v>26337.15169448105</v>
      </c>
      <c r="H53" s="115"/>
      <c r="I53" s="115">
        <v>2499.7102480350563</v>
      </c>
      <c r="J53" s="115"/>
      <c r="K53" s="115"/>
      <c r="L53" s="115">
        <v>197.95690883491605</v>
      </c>
      <c r="M53" s="115"/>
      <c r="N53" s="115"/>
      <c r="O53" s="115">
        <v>49.060452538194966</v>
      </c>
      <c r="P53" s="115"/>
      <c r="Q53" s="115"/>
      <c r="R53" s="115">
        <v>702.24665323749662</v>
      </c>
      <c r="S53" s="115"/>
      <c r="T53" s="80"/>
      <c r="U53" s="115">
        <v>5757.8054209969096</v>
      </c>
      <c r="V53" s="115"/>
      <c r="W53" s="115"/>
      <c r="X53" s="115">
        <v>1</v>
      </c>
      <c r="Y53" s="115"/>
      <c r="Z53" s="115"/>
      <c r="AA53" s="115"/>
      <c r="AB53"/>
      <c r="AC53" s="117"/>
      <c r="AD53"/>
    </row>
    <row r="54" spans="1:30" x14ac:dyDescent="0.2">
      <c r="A54" s="75">
        <v>2018</v>
      </c>
      <c r="B54" s="76" t="s">
        <v>57</v>
      </c>
      <c r="C54" s="116">
        <f t="shared" si="0"/>
        <v>29054.001021744221</v>
      </c>
      <c r="D54" s="115">
        <v>49628857.740000024</v>
      </c>
      <c r="E54" s="115"/>
      <c r="F54" s="115"/>
      <c r="G54" s="115">
        <v>26356.67947315413</v>
      </c>
      <c r="H54" s="115"/>
      <c r="I54" s="115">
        <v>2498.2802029937743</v>
      </c>
      <c r="J54" s="115"/>
      <c r="K54" s="115"/>
      <c r="L54" s="115">
        <v>198.04134559631859</v>
      </c>
      <c r="M54" s="115"/>
      <c r="N54" s="115"/>
      <c r="O54" s="115">
        <v>48.937147950188852</v>
      </c>
      <c r="P54" s="115"/>
      <c r="Q54" s="115"/>
      <c r="R54" s="115">
        <v>701.74960216696081</v>
      </c>
      <c r="S54" s="115"/>
      <c r="T54" s="80"/>
      <c r="U54" s="115">
        <v>5760.1831280325105</v>
      </c>
      <c r="V54" s="115"/>
      <c r="W54" s="115"/>
      <c r="X54" s="115">
        <v>1</v>
      </c>
      <c r="Y54" s="115"/>
      <c r="Z54" s="115"/>
      <c r="AA54" s="115"/>
      <c r="AB54"/>
      <c r="AC54" s="117"/>
      <c r="AD54"/>
    </row>
    <row r="55" spans="1:30" x14ac:dyDescent="0.2">
      <c r="A55" s="75">
        <v>2018</v>
      </c>
      <c r="B55" s="76" t="s">
        <v>58</v>
      </c>
      <c r="C55" s="116">
        <f t="shared" si="0"/>
        <v>29072.198525203348</v>
      </c>
      <c r="D55" s="115">
        <v>48629695.239999965</v>
      </c>
      <c r="E55" s="115"/>
      <c r="F55" s="115"/>
      <c r="G55" s="115">
        <v>26376.221730771038</v>
      </c>
      <c r="H55" s="115"/>
      <c r="I55" s="115">
        <v>2496.8509760588395</v>
      </c>
      <c r="J55" s="115"/>
      <c r="K55" s="115"/>
      <c r="L55" s="115">
        <v>198.12581837347182</v>
      </c>
      <c r="M55" s="115"/>
      <c r="N55" s="115"/>
      <c r="O55" s="115">
        <v>48.814153265998065</v>
      </c>
      <c r="P55" s="115"/>
      <c r="Q55" s="115"/>
      <c r="R55" s="115">
        <v>701.25290290980229</v>
      </c>
      <c r="S55" s="115"/>
      <c r="T55" s="80"/>
      <c r="U55" s="115">
        <v>5762.5618169510217</v>
      </c>
      <c r="V55" s="115"/>
      <c r="W55" s="115"/>
      <c r="X55" s="115">
        <v>1</v>
      </c>
      <c r="Y55" s="115"/>
      <c r="Z55" s="115"/>
      <c r="AA55" s="115"/>
      <c r="AB55"/>
      <c r="AC55" s="117"/>
      <c r="AD55"/>
    </row>
    <row r="56" spans="1:30" x14ac:dyDescent="0.2">
      <c r="A56" s="75">
        <v>2018</v>
      </c>
      <c r="B56" s="76" t="s">
        <v>59</v>
      </c>
      <c r="C56" s="116">
        <f t="shared" si="0"/>
        <v>29090.411372011204</v>
      </c>
      <c r="D56" s="115">
        <v>41064153.550000027</v>
      </c>
      <c r="E56" s="115"/>
      <c r="F56" s="115"/>
      <c r="G56" s="115">
        <v>26395.778478067237</v>
      </c>
      <c r="H56" s="115"/>
      <c r="I56" s="115">
        <v>2495.4225667622259</v>
      </c>
      <c r="J56" s="115"/>
      <c r="K56" s="115"/>
      <c r="L56" s="115">
        <v>198.21032718173794</v>
      </c>
      <c r="M56" s="115"/>
      <c r="N56" s="115"/>
      <c r="O56" s="115">
        <v>48.691467706735331</v>
      </c>
      <c r="P56" s="115"/>
      <c r="Q56" s="115"/>
      <c r="R56" s="115">
        <v>700.75655521700696</v>
      </c>
      <c r="S56" s="115"/>
      <c r="T56" s="80"/>
      <c r="U56" s="115">
        <v>5764.941488157916</v>
      </c>
      <c r="V56" s="115"/>
      <c r="W56" s="115"/>
      <c r="X56" s="115">
        <v>1</v>
      </c>
      <c r="Y56" s="115"/>
      <c r="Z56" s="115"/>
      <c r="AA56" s="115"/>
      <c r="AB56"/>
      <c r="AC56" s="117"/>
      <c r="AD56"/>
    </row>
    <row r="57" spans="1:30" x14ac:dyDescent="0.2">
      <c r="A57" s="75">
        <v>2018</v>
      </c>
      <c r="B57" s="76" t="s">
        <v>60</v>
      </c>
      <c r="C57" s="116">
        <f t="shared" si="0"/>
        <v>29108.639572458815</v>
      </c>
      <c r="D57" s="115">
        <v>37443471.689999975</v>
      </c>
      <c r="E57" s="115"/>
      <c r="F57" s="115"/>
      <c r="G57" s="115">
        <v>26415.349725786153</v>
      </c>
      <c r="H57" s="115"/>
      <c r="I57" s="115">
        <v>2493.9949746361758</v>
      </c>
      <c r="J57" s="115"/>
      <c r="K57" s="115"/>
      <c r="L57" s="115">
        <v>198.29487203648569</v>
      </c>
      <c r="M57" s="115"/>
      <c r="N57" s="115"/>
      <c r="O57" s="115">
        <v>48.569090495470967</v>
      </c>
      <c r="P57" s="115"/>
      <c r="Q57" s="115"/>
      <c r="R57" s="115">
        <v>700.2605588397372</v>
      </c>
      <c r="S57" s="115"/>
      <c r="T57" s="80"/>
      <c r="U57" s="115">
        <v>5767.3221420588334</v>
      </c>
      <c r="V57" s="115"/>
      <c r="W57" s="115"/>
      <c r="X57" s="115">
        <v>1</v>
      </c>
      <c r="Y57" s="115"/>
      <c r="Z57" s="115"/>
      <c r="AA57" s="115"/>
      <c r="AB57"/>
      <c r="AC57" s="117"/>
      <c r="AD57"/>
    </row>
    <row r="58" spans="1:30" x14ac:dyDescent="0.2">
      <c r="A58" s="75">
        <v>2018</v>
      </c>
      <c r="B58" s="76" t="s">
        <v>61</v>
      </c>
      <c r="C58" s="116">
        <f t="shared" si="0"/>
        <v>29126.883136845467</v>
      </c>
      <c r="D58" s="115">
        <v>39843675.400000006</v>
      </c>
      <c r="E58" s="115"/>
      <c r="F58" s="115"/>
      <c r="G58" s="115">
        <v>26434.935484679179</v>
      </c>
      <c r="H58" s="115"/>
      <c r="I58" s="115">
        <v>2492.5681992131986</v>
      </c>
      <c r="J58" s="115"/>
      <c r="K58" s="115"/>
      <c r="L58" s="115">
        <v>198.37945295309038</v>
      </c>
      <c r="M58" s="115"/>
      <c r="N58" s="115"/>
      <c r="O58" s="115">
        <v>48.447020857227955</v>
      </c>
      <c r="P58" s="115"/>
      <c r="Q58" s="115"/>
      <c r="R58" s="115">
        <v>699.76491352933147</v>
      </c>
      <c r="S58" s="115"/>
      <c r="T58" s="80"/>
      <c r="U58" s="115">
        <v>5769.7037790595805</v>
      </c>
      <c r="V58" s="115"/>
      <c r="W58" s="115"/>
      <c r="X58" s="115">
        <v>1</v>
      </c>
      <c r="Y58" s="115"/>
      <c r="Z58" s="115"/>
      <c r="AA58" s="115"/>
      <c r="AB58"/>
      <c r="AC58" s="117"/>
      <c r="AD58"/>
    </row>
    <row r="59" spans="1:30" x14ac:dyDescent="0.2">
      <c r="A59" s="75">
        <v>2018</v>
      </c>
      <c r="B59" s="76" t="s">
        <v>62</v>
      </c>
      <c r="C59" s="116">
        <f t="shared" si="0"/>
        <v>29145.142075478685</v>
      </c>
      <c r="D59" s="115">
        <v>41914947.409999989</v>
      </c>
      <c r="E59" s="115"/>
      <c r="F59" s="115">
        <f>Averages!B20</f>
        <v>213384791.97681683</v>
      </c>
      <c r="G59" s="115">
        <v>26454.53576550568</v>
      </c>
      <c r="H59" s="115">
        <f>Averages!D20</f>
        <v>68552191.048737228</v>
      </c>
      <c r="I59" s="115">
        <v>2491.1422400260712</v>
      </c>
      <c r="J59" s="115">
        <f>Averages!F20</f>
        <v>186317853.54878309</v>
      </c>
      <c r="K59" s="115">
        <f>Averages!G20</f>
        <v>580250.94000000006</v>
      </c>
      <c r="L59" s="115">
        <v>198.46406994693388</v>
      </c>
      <c r="M59" s="115">
        <f>Averages!I20</f>
        <v>1307305.7299999995</v>
      </c>
      <c r="N59" s="115"/>
      <c r="O59" s="115">
        <v>48.325258018977053</v>
      </c>
      <c r="P59" s="115">
        <f>Averages!K20</f>
        <v>606042.11775878421</v>
      </c>
      <c r="Q59" s="115">
        <f>Averages!L20</f>
        <v>1951.2900000000013</v>
      </c>
      <c r="R59" s="115">
        <v>699.26961903730421</v>
      </c>
      <c r="S59" s="115">
        <f>Averages!N20</f>
        <v>1390046.9705603039</v>
      </c>
      <c r="T59" s="115">
        <f>Averages!O20</f>
        <v>4251.8</v>
      </c>
      <c r="U59" s="115">
        <v>5772.0863995661321</v>
      </c>
      <c r="V59" s="115">
        <f>Averages!Q20</f>
        <v>5218945.2166489204</v>
      </c>
      <c r="W59" s="115">
        <f>Averages!R20</f>
        <v>13532.36</v>
      </c>
      <c r="X59" s="115">
        <v>1</v>
      </c>
      <c r="Y59" s="115"/>
      <c r="Z59" s="115"/>
      <c r="AA59" s="115"/>
      <c r="AB59"/>
      <c r="AC59" s="117"/>
      <c r="AD59"/>
    </row>
    <row r="60" spans="1:30" x14ac:dyDescent="0.2">
      <c r="A60" s="75">
        <v>2019</v>
      </c>
      <c r="B60" s="76" t="s">
        <v>52</v>
      </c>
      <c r="C60" s="116">
        <f t="shared" si="0"/>
        <v>29169.63392528757</v>
      </c>
      <c r="D60" s="114">
        <v>46622026.859999999</v>
      </c>
      <c r="E60" s="114"/>
      <c r="F60" s="114"/>
      <c r="G60" s="114" cm="1">
        <f t="array" ref="G60:G71">'Monthly Customer Determination'!F4:F15</f>
        <v>26479.749633179883</v>
      </c>
      <c r="H60" s="114"/>
      <c r="I60" s="114" cm="1">
        <f t="array" ref="I60:I71">'Monthly Customer Determination'!F23:F34</f>
        <v>2491.2741774750252</v>
      </c>
      <c r="J60" s="114"/>
      <c r="K60" s="114"/>
      <c r="L60" s="114" cm="1">
        <f t="array" ref="L60:L71">'Monthly Customer Determination'!F42:F53</f>
        <v>197.61011463266254</v>
      </c>
      <c r="M60" s="114"/>
      <c r="N60" s="114"/>
      <c r="O60" s="114" cm="1">
        <f t="array" ref="O60:O71">'Monthly Customer Determination'!F61:F72</f>
        <v>48.118243830099573</v>
      </c>
      <c r="P60" s="114"/>
      <c r="Q60" s="114"/>
      <c r="R60" s="114" cm="1">
        <f t="array" ref="R60:R71">'Monthly Customer Determination'!F81:F92</f>
        <v>694.97923673807725</v>
      </c>
      <c r="S60" s="114"/>
      <c r="T60" s="78"/>
      <c r="U60" s="114" cm="1">
        <f t="array" ref="U60:U71">'Monthly Customer Determination'!F101:F112</f>
        <v>5785.7991016950145</v>
      </c>
      <c r="V60" s="114"/>
      <c r="W60" s="114"/>
      <c r="X60" s="114">
        <v>1</v>
      </c>
      <c r="Y60" s="114"/>
      <c r="Z60" s="114"/>
      <c r="AA60" s="114"/>
      <c r="AB60"/>
      <c r="AC60" s="117"/>
      <c r="AD60"/>
    </row>
    <row r="61" spans="1:30" x14ac:dyDescent="0.2">
      <c r="A61" s="75">
        <v>2019</v>
      </c>
      <c r="B61" s="76" t="s">
        <v>53</v>
      </c>
      <c r="C61" s="116">
        <f t="shared" si="0"/>
        <v>29194.153487885429</v>
      </c>
      <c r="D61" s="115">
        <v>41188691.579999998</v>
      </c>
      <c r="E61" s="115"/>
      <c r="F61" s="115"/>
      <c r="G61" s="115">
        <v>26504.987532238676</v>
      </c>
      <c r="H61" s="115"/>
      <c r="I61" s="115">
        <v>2491.4061219117334</v>
      </c>
      <c r="J61" s="115"/>
      <c r="K61" s="115"/>
      <c r="L61" s="115">
        <v>196.7598337350197</v>
      </c>
      <c r="M61" s="115"/>
      <c r="N61" s="115"/>
      <c r="O61" s="115">
        <v>47.912116441958467</v>
      </c>
      <c r="P61" s="115"/>
      <c r="Q61" s="115"/>
      <c r="R61" s="115">
        <v>690.71517816259347</v>
      </c>
      <c r="S61" s="115"/>
      <c r="T61" s="80"/>
      <c r="U61" s="115">
        <v>5799.5443809869294</v>
      </c>
      <c r="V61" s="115"/>
      <c r="W61" s="115"/>
      <c r="X61" s="115">
        <v>1</v>
      </c>
      <c r="Y61" s="115"/>
      <c r="Z61" s="115"/>
      <c r="AA61" s="115"/>
      <c r="AB61"/>
      <c r="AC61" s="117"/>
      <c r="AD61"/>
    </row>
    <row r="62" spans="1:30" x14ac:dyDescent="0.2">
      <c r="A62" s="75">
        <v>2019</v>
      </c>
      <c r="B62" s="76" t="s">
        <v>54</v>
      </c>
      <c r="C62" s="116">
        <f t="shared" si="0"/>
        <v>29218.700770366631</v>
      </c>
      <c r="D62" s="115">
        <v>42070897.649999976</v>
      </c>
      <c r="E62" s="115"/>
      <c r="F62" s="115"/>
      <c r="G62" s="115">
        <v>26530.249485586413</v>
      </c>
      <c r="H62" s="115"/>
      <c r="I62" s="115">
        <v>2491.5380733365664</v>
      </c>
      <c r="J62" s="115"/>
      <c r="K62" s="115"/>
      <c r="L62" s="115">
        <v>195.91321144364932</v>
      </c>
      <c r="M62" s="115"/>
      <c r="N62" s="115"/>
      <c r="O62" s="115">
        <v>47.706872055705205</v>
      </c>
      <c r="P62" s="115"/>
      <c r="Q62" s="115"/>
      <c r="R62" s="115">
        <v>686.47728180113563</v>
      </c>
      <c r="S62" s="115"/>
      <c r="T62" s="80"/>
      <c r="U62" s="115">
        <v>5813.3223148351972</v>
      </c>
      <c r="V62" s="115"/>
      <c r="W62" s="115"/>
      <c r="X62" s="115">
        <v>1</v>
      </c>
      <c r="Y62" s="115"/>
      <c r="Z62" s="115"/>
      <c r="AA62" s="115"/>
      <c r="AB62"/>
      <c r="AC62" s="117"/>
      <c r="AD62"/>
    </row>
    <row r="63" spans="1:30" x14ac:dyDescent="0.2">
      <c r="A63" s="75">
        <v>2019</v>
      </c>
      <c r="B63" s="76" t="s">
        <v>55</v>
      </c>
      <c r="C63" s="116">
        <f t="shared" si="0"/>
        <v>29243.275779915406</v>
      </c>
      <c r="D63" s="115">
        <v>36296821.840000033</v>
      </c>
      <c r="E63" s="115"/>
      <c r="F63" s="115"/>
      <c r="G63" s="115">
        <v>26555.535516149288</v>
      </c>
      <c r="H63" s="115"/>
      <c r="I63" s="115">
        <v>2491.670031749894</v>
      </c>
      <c r="J63" s="115"/>
      <c r="K63" s="115"/>
      <c r="L63" s="115">
        <v>195.07023201622448</v>
      </c>
      <c r="M63" s="115"/>
      <c r="N63" s="115"/>
      <c r="O63" s="115">
        <v>47.50250688876465</v>
      </c>
      <c r="P63" s="115"/>
      <c r="Q63" s="115"/>
      <c r="R63" s="115">
        <v>682.26538713493267</v>
      </c>
      <c r="S63" s="115"/>
      <c r="T63" s="80"/>
      <c r="U63" s="115">
        <v>5827.1329808170012</v>
      </c>
      <c r="V63" s="115"/>
      <c r="W63" s="115"/>
      <c r="X63" s="115">
        <v>1</v>
      </c>
      <c r="Y63" s="115"/>
      <c r="Z63" s="115"/>
      <c r="AA63" s="115"/>
      <c r="AB63"/>
      <c r="AC63" s="117"/>
      <c r="AD63"/>
    </row>
    <row r="64" spans="1:30" x14ac:dyDescent="0.2">
      <c r="A64" s="75">
        <v>2019</v>
      </c>
      <c r="B64" s="76" t="s">
        <v>31</v>
      </c>
      <c r="C64" s="116">
        <f t="shared" si="0"/>
        <v>29267.878523805579</v>
      </c>
      <c r="D64" s="115">
        <v>35335301.459999986</v>
      </c>
      <c r="E64" s="115"/>
      <c r="F64" s="115"/>
      <c r="G64" s="115">
        <v>26580.845646875336</v>
      </c>
      <c r="H64" s="115"/>
      <c r="I64" s="115">
        <v>2491.8019971520866</v>
      </c>
      <c r="J64" s="115"/>
      <c r="K64" s="115"/>
      <c r="L64" s="115">
        <v>194.2308797781547</v>
      </c>
      <c r="M64" s="115"/>
      <c r="N64" s="115"/>
      <c r="O64" s="115">
        <v>47.299017174765339</v>
      </c>
      <c r="P64" s="115"/>
      <c r="Q64" s="115"/>
      <c r="R64" s="115">
        <v>678.0793346300793</v>
      </c>
      <c r="S64" s="115"/>
      <c r="T64" s="80"/>
      <c r="U64" s="115">
        <v>5840.9764566938238</v>
      </c>
      <c r="V64" s="115"/>
      <c r="W64" s="115"/>
      <c r="X64" s="115">
        <v>1</v>
      </c>
      <c r="Y64" s="115"/>
      <c r="Z64" s="115"/>
      <c r="AA64" s="115"/>
      <c r="AB64"/>
      <c r="AC64" s="117"/>
      <c r="AD64"/>
    </row>
    <row r="65" spans="1:30" x14ac:dyDescent="0.2">
      <c r="A65" s="75">
        <v>2019</v>
      </c>
      <c r="B65" s="76" t="s">
        <v>56</v>
      </c>
      <c r="C65" s="116">
        <f t="shared" si="0"/>
        <v>29292.509009400277</v>
      </c>
      <c r="D65" s="115">
        <v>36918421.580000013</v>
      </c>
      <c r="E65" s="115"/>
      <c r="F65" s="115"/>
      <c r="G65" s="115">
        <v>26606.179900734467</v>
      </c>
      <c r="H65" s="115"/>
      <c r="I65" s="115">
        <v>2491.9339695435142</v>
      </c>
      <c r="J65" s="115"/>
      <c r="K65" s="115"/>
      <c r="L65" s="115">
        <v>193.39513912229441</v>
      </c>
      <c r="M65" s="115"/>
      <c r="N65" s="115"/>
      <c r="O65" s="115">
        <v>47.096399163470068</v>
      </c>
      <c r="P65" s="115"/>
      <c r="Q65" s="115"/>
      <c r="R65" s="115">
        <v>673.91896573149381</v>
      </c>
      <c r="S65" s="115"/>
      <c r="T65" s="80"/>
      <c r="U65" s="115">
        <v>5854.8528204118857</v>
      </c>
      <c r="V65" s="115"/>
      <c r="W65" s="115"/>
      <c r="X65" s="115">
        <v>1</v>
      </c>
      <c r="Y65" s="115"/>
      <c r="Z65" s="115"/>
      <c r="AA65" s="115"/>
      <c r="AB65"/>
      <c r="AC65" s="117"/>
      <c r="AD65"/>
    </row>
    <row r="66" spans="1:30" x14ac:dyDescent="0.2">
      <c r="A66" s="75">
        <v>2019</v>
      </c>
      <c r="B66" s="76" t="s">
        <v>57</v>
      </c>
      <c r="C66" s="116">
        <f t="shared" si="0"/>
        <v>29317.167244151682</v>
      </c>
      <c r="D66" s="115">
        <v>48958080.650000021</v>
      </c>
      <c r="E66" s="115"/>
      <c r="F66" s="115"/>
      <c r="G66" s="115">
        <v>26631.538300718483</v>
      </c>
      <c r="H66" s="115"/>
      <c r="I66" s="115">
        <v>2492.0659489245468</v>
      </c>
      <c r="J66" s="115"/>
      <c r="K66" s="115"/>
      <c r="L66" s="115">
        <v>192.56299450865282</v>
      </c>
      <c r="M66" s="115"/>
      <c r="N66" s="115"/>
      <c r="O66" s="115">
        <v>46.894649120706774</v>
      </c>
      <c r="P66" s="115"/>
      <c r="Q66" s="115"/>
      <c r="R66" s="115">
        <v>669.78412285691229</v>
      </c>
      <c r="S66" s="115"/>
      <c r="T66" s="80"/>
      <c r="U66" s="115">
        <v>5868.7621501025824</v>
      </c>
      <c r="V66" s="115"/>
      <c r="W66" s="115"/>
      <c r="X66" s="115">
        <v>1</v>
      </c>
      <c r="Y66" s="115"/>
      <c r="Z66" s="115"/>
      <c r="AA66" s="115"/>
      <c r="AB66"/>
      <c r="AC66" s="117"/>
      <c r="AD66"/>
    </row>
    <row r="67" spans="1:30" x14ac:dyDescent="0.2">
      <c r="A67" s="75">
        <v>2019</v>
      </c>
      <c r="B67" s="76" t="s">
        <v>58</v>
      </c>
      <c r="C67" s="116">
        <f t="shared" si="0"/>
        <v>29341.853235600767</v>
      </c>
      <c r="D67" s="115">
        <v>45777930.170000002</v>
      </c>
      <c r="E67" s="115"/>
      <c r="F67" s="115"/>
      <c r="G67" s="115">
        <v>26656.920869841106</v>
      </c>
      <c r="H67" s="115"/>
      <c r="I67" s="115">
        <v>2492.197935295555</v>
      </c>
      <c r="J67" s="115"/>
      <c r="K67" s="115"/>
      <c r="L67" s="115">
        <v>191.73443046410492</v>
      </c>
      <c r="M67" s="115"/>
      <c r="N67" s="115"/>
      <c r="O67" s="115">
        <v>46.693763328299731</v>
      </c>
      <c r="P67" s="115"/>
      <c r="Q67" s="115"/>
      <c r="R67" s="115">
        <v>665.67464939091974</v>
      </c>
      <c r="S67" s="115"/>
      <c r="T67" s="80"/>
      <c r="U67" s="115">
        <v>5882.7045240829275</v>
      </c>
      <c r="V67" s="115"/>
      <c r="W67" s="115"/>
      <c r="X67" s="115">
        <v>1</v>
      </c>
      <c r="Y67" s="115"/>
      <c r="Z67" s="115"/>
      <c r="AA67" s="115"/>
      <c r="AB67"/>
      <c r="AC67" s="117"/>
      <c r="AD67"/>
    </row>
    <row r="68" spans="1:30" x14ac:dyDescent="0.2">
      <c r="A68" s="75">
        <v>2019</v>
      </c>
      <c r="B68" s="76" t="s">
        <v>59</v>
      </c>
      <c r="C68" s="116">
        <f t="shared" si="0"/>
        <v>29366.566991376993</v>
      </c>
      <c r="D68" s="115">
        <v>37514501.140000001</v>
      </c>
      <c r="E68" s="115"/>
      <c r="F68" s="115"/>
      <c r="G68" s="115">
        <v>26682.327631137981</v>
      </c>
      <c r="H68" s="115"/>
      <c r="I68" s="115">
        <v>2492.3299286569086</v>
      </c>
      <c r="J68" s="115"/>
      <c r="K68" s="115"/>
      <c r="L68" s="115">
        <v>190.90943158210379</v>
      </c>
      <c r="M68" s="115"/>
      <c r="N68" s="115"/>
      <c r="O68" s="115">
        <v>46.493738084001002</v>
      </c>
      <c r="P68" s="115"/>
      <c r="Q68" s="115"/>
      <c r="R68" s="115">
        <v>661.59038967901802</v>
      </c>
      <c r="S68" s="115"/>
      <c r="T68" s="80"/>
      <c r="U68" s="115">
        <v>5896.6800208559907</v>
      </c>
      <c r="V68" s="115"/>
      <c r="W68" s="115"/>
      <c r="X68" s="115">
        <v>1</v>
      </c>
      <c r="Y68" s="115"/>
      <c r="Z68" s="115"/>
      <c r="AA68" s="115"/>
      <c r="AB68"/>
      <c r="AC68" s="117"/>
      <c r="AD68"/>
    </row>
    <row r="69" spans="1:30" x14ac:dyDescent="0.2">
      <c r="A69" s="75">
        <v>2019</v>
      </c>
      <c r="B69" s="76" t="s">
        <v>60</v>
      </c>
      <c r="C69" s="116">
        <f t="shared" si="0"/>
        <v>29391.308519198094</v>
      </c>
      <c r="D69" s="115">
        <v>36374484.030000001</v>
      </c>
      <c r="E69" s="115"/>
      <c r="F69" s="115"/>
      <c r="G69" s="115">
        <v>26707.758607666721</v>
      </c>
      <c r="H69" s="115"/>
      <c r="I69" s="115">
        <v>2492.4619290089781</v>
      </c>
      <c r="J69" s="115"/>
      <c r="K69" s="115"/>
      <c r="L69" s="115">
        <v>190.08798252239416</v>
      </c>
      <c r="M69" s="115"/>
      <c r="N69" s="115"/>
      <c r="O69" s="115">
        <v>46.294569701422233</v>
      </c>
      <c r="P69" s="115"/>
      <c r="Q69" s="115"/>
      <c r="R69" s="115">
        <v>657.53118902173037</v>
      </c>
      <c r="S69" s="115"/>
      <c r="T69" s="80"/>
      <c r="U69" s="115">
        <v>5910.6887191113401</v>
      </c>
      <c r="V69" s="115"/>
      <c r="W69" s="115"/>
      <c r="X69" s="115">
        <v>1</v>
      </c>
      <c r="Y69" s="115"/>
      <c r="Z69" s="115"/>
      <c r="AA69" s="115"/>
      <c r="AB69"/>
      <c r="AC69" s="117"/>
      <c r="AD69"/>
    </row>
    <row r="70" spans="1:30" x14ac:dyDescent="0.2">
      <c r="A70" s="75">
        <v>2019</v>
      </c>
      <c r="B70" s="76" t="s">
        <v>61</v>
      </c>
      <c r="C70" s="116">
        <f t="shared" si="0"/>
        <v>29416.077826869765</v>
      </c>
      <c r="D70" s="115">
        <v>40089238.080000013</v>
      </c>
      <c r="E70" s="115"/>
      <c r="F70" s="115"/>
      <c r="G70" s="115">
        <v>26733.213822506907</v>
      </c>
      <c r="H70" s="115"/>
      <c r="I70" s="115">
        <v>2492.5939363521334</v>
      </c>
      <c r="J70" s="115"/>
      <c r="K70" s="115"/>
      <c r="L70" s="115">
        <v>189.27006801072704</v>
      </c>
      <c r="M70" s="115"/>
      <c r="N70" s="115"/>
      <c r="O70" s="115">
        <v>46.096254509966691</v>
      </c>
      <c r="P70" s="115"/>
      <c r="Q70" s="115"/>
      <c r="R70" s="115">
        <v>653.49689366874156</v>
      </c>
      <c r="S70" s="115"/>
      <c r="T70" s="80"/>
      <c r="U70" s="115">
        <v>5924.7306977254875</v>
      </c>
      <c r="V70" s="115"/>
      <c r="W70" s="115"/>
      <c r="X70" s="115">
        <v>1</v>
      </c>
      <c r="Y70" s="115"/>
      <c r="Z70" s="115"/>
      <c r="AA70" s="115"/>
      <c r="AB70"/>
      <c r="AC70" s="117"/>
      <c r="AD70"/>
    </row>
    <row r="71" spans="1:30" x14ac:dyDescent="0.2">
      <c r="A71" s="75">
        <v>2019</v>
      </c>
      <c r="B71" s="76" t="s">
        <v>62</v>
      </c>
      <c r="C71" s="116">
        <f t="shared" si="0"/>
        <v>29440.874922285439</v>
      </c>
      <c r="D71" s="115">
        <v>42739198.629999965</v>
      </c>
      <c r="E71" s="115"/>
      <c r="F71" s="115">
        <f>Averages!B21</f>
        <v>208333696</v>
      </c>
      <c r="G71" s="115">
        <v>26758.693298760118</v>
      </c>
      <c r="H71" s="115">
        <f>Averages!D21</f>
        <v>68296620</v>
      </c>
      <c r="I71" s="115">
        <v>2492.7259506867449</v>
      </c>
      <c r="J71" s="115">
        <f>Averages!F21</f>
        <v>183204908</v>
      </c>
      <c r="K71" s="115">
        <f>Averages!G21</f>
        <v>553967</v>
      </c>
      <c r="L71" s="115">
        <v>188.45567283857585</v>
      </c>
      <c r="M71" s="115">
        <f>Averages!I21</f>
        <v>1299487</v>
      </c>
      <c r="N71" s="115"/>
      <c r="O71" s="115">
        <v>45.898788854761634</v>
      </c>
      <c r="P71" s="115">
        <f>Averages!K21</f>
        <v>565913</v>
      </c>
      <c r="Q71" s="115">
        <f>Averages!L21</f>
        <v>1856</v>
      </c>
      <c r="R71" s="115">
        <v>649.48735081307439</v>
      </c>
      <c r="S71" s="115">
        <f>Averages!N21</f>
        <v>1401778</v>
      </c>
      <c r="T71" s="115">
        <f>Averages!O21</f>
        <v>4286</v>
      </c>
      <c r="U71" s="115">
        <v>5938.8060357623299</v>
      </c>
      <c r="V71" s="115">
        <f>Averages!Q21</f>
        <v>5234524</v>
      </c>
      <c r="W71" s="115">
        <f>Averages!R21</f>
        <v>13276</v>
      </c>
      <c r="X71" s="115">
        <v>1</v>
      </c>
      <c r="Y71" s="115"/>
      <c r="Z71" s="115"/>
      <c r="AA71" s="115"/>
      <c r="AB71"/>
      <c r="AC71" s="117"/>
      <c r="AD71"/>
    </row>
    <row r="72" spans="1:30" x14ac:dyDescent="0.2">
      <c r="A72" s="75">
        <v>2020</v>
      </c>
      <c r="B72" s="76" t="s">
        <v>52</v>
      </c>
      <c r="C72" s="116">
        <f t="shared" si="0"/>
        <v>29463.434445217168</v>
      </c>
      <c r="D72" s="114">
        <v>44000407</v>
      </c>
      <c r="E72" s="114"/>
      <c r="F72" s="114"/>
      <c r="G72" s="114" cm="1">
        <f t="array" ref="G72:G83">'Monthly Customer Determination'!G4:G15</f>
        <v>26781.132881775855</v>
      </c>
      <c r="H72" s="114"/>
      <c r="I72" s="114" cm="1">
        <f t="array" ref="I72:I83">'Monthly Customer Determination'!G23:G34</f>
        <v>2492.3063147291018</v>
      </c>
      <c r="J72" s="114"/>
      <c r="K72" s="114"/>
      <c r="L72" s="114" cm="1">
        <f t="array" ref="L72:L83">'Monthly Customer Determination'!G42:G53</f>
        <v>188.99524871220973</v>
      </c>
      <c r="M72" s="114"/>
      <c r="N72" s="114"/>
      <c r="O72" s="114" cm="1">
        <f t="array" ref="O72:O83">'Monthly Customer Determination'!G61:G72</f>
        <v>45.914321376938105</v>
      </c>
      <c r="P72" s="114"/>
      <c r="Q72" s="114"/>
      <c r="R72" s="114" cm="1">
        <f t="array" ref="R72:R83">'Monthly Customer Determination'!G81:G92</f>
        <v>648.32789480916722</v>
      </c>
      <c r="S72" s="114"/>
      <c r="T72" s="78"/>
      <c r="U72" s="114" cm="1">
        <f t="array" ref="U72:U83">'Monthly Customer Determination'!G101:G112</f>
        <v>5944.8135384311427</v>
      </c>
      <c r="V72" s="114"/>
      <c r="W72" s="114"/>
      <c r="X72" s="114">
        <v>1</v>
      </c>
      <c r="Y72" s="114"/>
      <c r="Z72" s="114"/>
      <c r="AA72" s="114"/>
      <c r="AB72"/>
      <c r="AC72" s="117"/>
      <c r="AD72"/>
    </row>
    <row r="73" spans="1:30" x14ac:dyDescent="0.2">
      <c r="A73" s="75">
        <v>2020</v>
      </c>
      <c r="B73" s="76" t="s">
        <v>53</v>
      </c>
      <c r="C73" s="116">
        <f t="shared" si="0"/>
        <v>29486.014401294655</v>
      </c>
      <c r="D73" s="115">
        <v>41219886</v>
      </c>
      <c r="E73" s="115"/>
      <c r="F73" s="115"/>
      <c r="G73" s="115">
        <v>26803.591282410234</v>
      </c>
      <c r="H73" s="115"/>
      <c r="I73" s="115">
        <v>2491.8867494147385</v>
      </c>
      <c r="J73" s="115"/>
      <c r="K73" s="115"/>
      <c r="L73" s="115">
        <v>189.536369469683</v>
      </c>
      <c r="M73" s="115"/>
      <c r="N73" s="115"/>
      <c r="O73" s="115">
        <v>45.929859155445975</v>
      </c>
      <c r="P73" s="115"/>
      <c r="Q73" s="115"/>
      <c r="R73" s="115">
        <v>647.1705086503822</v>
      </c>
      <c r="S73" s="115"/>
      <c r="T73" s="80"/>
      <c r="U73" s="115">
        <v>5950.8271180939</v>
      </c>
      <c r="V73" s="115"/>
      <c r="W73" s="115"/>
      <c r="X73" s="115">
        <v>1</v>
      </c>
      <c r="Y73" s="115"/>
      <c r="Z73" s="115"/>
      <c r="AA73" s="115"/>
      <c r="AB73"/>
      <c r="AC73" s="117"/>
      <c r="AD73"/>
    </row>
    <row r="74" spans="1:30" x14ac:dyDescent="0.2">
      <c r="A74" s="75">
        <v>2020</v>
      </c>
      <c r="B74" s="76" t="s">
        <v>54</v>
      </c>
      <c r="C74" s="116">
        <f t="shared" si="0"/>
        <v>29508.614810709521</v>
      </c>
      <c r="D74" s="115">
        <v>39943443</v>
      </c>
      <c r="E74" s="115"/>
      <c r="F74" s="115"/>
      <c r="G74" s="115">
        <v>26826.068516443534</v>
      </c>
      <c r="H74" s="115"/>
      <c r="I74" s="115">
        <v>2491.4672547317628</v>
      </c>
      <c r="J74" s="115"/>
      <c r="K74" s="115"/>
      <c r="L74" s="115">
        <v>190.07903953422172</v>
      </c>
      <c r="M74" s="115"/>
      <c r="N74" s="115"/>
      <c r="O74" s="115">
        <v>45.94540219206403</v>
      </c>
      <c r="P74" s="115"/>
      <c r="Q74" s="115"/>
      <c r="R74" s="115">
        <v>646.01518864165996</v>
      </c>
      <c r="S74" s="115"/>
      <c r="T74" s="80"/>
      <c r="U74" s="115">
        <v>5956.8467808978912</v>
      </c>
      <c r="V74" s="115"/>
      <c r="W74" s="115"/>
      <c r="X74" s="115">
        <v>1</v>
      </c>
      <c r="Y74" s="115"/>
      <c r="Z74" s="115"/>
      <c r="AA74" s="115"/>
      <c r="AB74"/>
      <c r="AC74" s="117"/>
      <c r="AD74"/>
    </row>
    <row r="75" spans="1:30" x14ac:dyDescent="0.2">
      <c r="A75" s="75">
        <v>2020</v>
      </c>
      <c r="B75" s="76" t="s">
        <v>55</v>
      </c>
      <c r="C75" s="116">
        <f t="shared" si="0"/>
        <v>29531.23569367926</v>
      </c>
      <c r="D75" s="115">
        <v>34785312</v>
      </c>
      <c r="E75" s="115"/>
      <c r="F75" s="115"/>
      <c r="G75" s="115">
        <v>26848.564599669258</v>
      </c>
      <c r="H75" s="115"/>
      <c r="I75" s="115">
        <v>2491.047830668284</v>
      </c>
      <c r="J75" s="115"/>
      <c r="K75" s="115"/>
      <c r="L75" s="115">
        <v>190.62326334171632</v>
      </c>
      <c r="M75" s="115"/>
      <c r="N75" s="115"/>
      <c r="O75" s="115">
        <v>45.960950488571662</v>
      </c>
      <c r="P75" s="115"/>
      <c r="Q75" s="115"/>
      <c r="R75" s="115">
        <v>644.86193109453745</v>
      </c>
      <c r="S75" s="115"/>
      <c r="T75" s="80"/>
      <c r="U75" s="115">
        <v>5962.8725329966228</v>
      </c>
      <c r="V75" s="115"/>
      <c r="W75" s="115"/>
      <c r="X75" s="115">
        <v>1</v>
      </c>
      <c r="Y75" s="115"/>
      <c r="Z75" s="115"/>
      <c r="AA75" s="115"/>
      <c r="AB75"/>
      <c r="AC75" s="117"/>
      <c r="AD75"/>
    </row>
    <row r="76" spans="1:30" x14ac:dyDescent="0.2">
      <c r="A76" s="75">
        <v>2020</v>
      </c>
      <c r="B76" s="76" t="s">
        <v>31</v>
      </c>
      <c r="C76" s="116">
        <f t="shared" si="0"/>
        <v>29553.877070447332</v>
      </c>
      <c r="D76" s="115">
        <v>35305256</v>
      </c>
      <c r="E76" s="115"/>
      <c r="F76" s="115"/>
      <c r="G76" s="115">
        <v>26871.079547894162</v>
      </c>
      <c r="H76" s="115"/>
      <c r="I76" s="115">
        <v>2490.6284772124141</v>
      </c>
      <c r="J76" s="115"/>
      <c r="K76" s="115"/>
      <c r="L76" s="115">
        <v>191.16904534075783</v>
      </c>
      <c r="M76" s="115"/>
      <c r="N76" s="115"/>
      <c r="O76" s="115">
        <v>45.976504046748857</v>
      </c>
      <c r="P76" s="115"/>
      <c r="Q76" s="115"/>
      <c r="R76" s="115">
        <v>643.71073232713616</v>
      </c>
      <c r="S76" s="115"/>
      <c r="T76" s="80"/>
      <c r="U76" s="115">
        <v>5968.9043805498277</v>
      </c>
      <c r="V76" s="115"/>
      <c r="W76" s="115"/>
      <c r="X76" s="115">
        <v>1</v>
      </c>
      <c r="Y76" s="115"/>
      <c r="Z76" s="115"/>
      <c r="AA76" s="115"/>
      <c r="AB76"/>
      <c r="AC76" s="117"/>
      <c r="AD76"/>
    </row>
    <row r="77" spans="1:30" x14ac:dyDescent="0.2">
      <c r="A77" s="75">
        <v>2020</v>
      </c>
      <c r="B77" s="76" t="s">
        <v>56</v>
      </c>
      <c r="C77" s="116">
        <f t="shared" si="0"/>
        <v>29576.538961283193</v>
      </c>
      <c r="D77" s="115">
        <v>39004716</v>
      </c>
      <c r="E77" s="115"/>
      <c r="F77" s="115"/>
      <c r="G77" s="115">
        <v>26893.61337693825</v>
      </c>
      <c r="H77" s="115"/>
      <c r="I77" s="115">
        <v>2490.2091943522664</v>
      </c>
      <c r="J77" s="115"/>
      <c r="K77" s="115"/>
      <c r="L77" s="115">
        <v>191.71638999267421</v>
      </c>
      <c r="M77" s="115"/>
      <c r="N77" s="115"/>
      <c r="O77" s="115">
        <v>45.992062868376209</v>
      </c>
      <c r="P77" s="115"/>
      <c r="Q77" s="115"/>
      <c r="R77" s="115">
        <v>642.56158866415046</v>
      </c>
      <c r="S77" s="115"/>
      <c r="T77" s="80"/>
      <c r="U77" s="115">
        <v>5974.942329723468</v>
      </c>
      <c r="V77" s="115"/>
      <c r="W77" s="115"/>
      <c r="X77" s="115">
        <v>1</v>
      </c>
      <c r="Y77" s="115"/>
      <c r="Z77" s="115"/>
      <c r="AA77" s="115"/>
      <c r="AB77"/>
      <c r="AC77" s="117"/>
      <c r="AD77"/>
    </row>
    <row r="78" spans="1:30" x14ac:dyDescent="0.2">
      <c r="A78" s="75">
        <v>2020</v>
      </c>
      <c r="B78" s="76" t="s">
        <v>57</v>
      </c>
      <c r="C78" s="116">
        <f t="shared" si="0"/>
        <v>29599.221386482321</v>
      </c>
      <c r="D78" s="115">
        <v>51209111</v>
      </c>
      <c r="E78" s="115"/>
      <c r="F78" s="115"/>
      <c r="G78" s="115">
        <v>26916.166102634797</v>
      </c>
      <c r="H78" s="115"/>
      <c r="I78" s="115">
        <v>2489.7899820759567</v>
      </c>
      <c r="J78" s="115"/>
      <c r="K78" s="115"/>
      <c r="L78" s="115">
        <v>192.26530177156687</v>
      </c>
      <c r="M78" s="115"/>
      <c r="N78" s="115"/>
      <c r="O78" s="115">
        <v>46.007626955234905</v>
      </c>
      <c r="P78" s="115"/>
      <c r="Q78" s="115"/>
      <c r="R78" s="115">
        <v>641.41449643683598</v>
      </c>
      <c r="S78" s="115"/>
      <c r="T78" s="80"/>
      <c r="U78" s="115">
        <v>5980.9863866897449</v>
      </c>
      <c r="V78" s="115"/>
      <c r="W78" s="115"/>
      <c r="X78" s="115">
        <v>1</v>
      </c>
      <c r="Y78" s="115"/>
      <c r="Z78" s="115"/>
      <c r="AA78" s="115"/>
      <c r="AB78"/>
      <c r="AC78" s="117"/>
      <c r="AD78"/>
    </row>
    <row r="79" spans="1:30" x14ac:dyDescent="0.2">
      <c r="A79" s="75">
        <v>2020</v>
      </c>
      <c r="B79" s="76" t="s">
        <v>58</v>
      </c>
      <c r="C79" s="116">
        <f t="shared" si="0"/>
        <v>29621.9243663663</v>
      </c>
      <c r="D79" s="115">
        <v>45776807</v>
      </c>
      <c r="E79" s="115"/>
      <c r="F79" s="115"/>
      <c r="G79" s="115">
        <v>26938.737740830351</v>
      </c>
      <c r="H79" s="115"/>
      <c r="I79" s="115">
        <v>2489.3708403716028</v>
      </c>
      <c r="J79" s="115"/>
      <c r="K79" s="115"/>
      <c r="L79" s="115">
        <v>192.81578516434718</v>
      </c>
      <c r="M79" s="115"/>
      <c r="N79" s="115"/>
      <c r="O79" s="115">
        <v>46.023196309106751</v>
      </c>
      <c r="P79" s="115"/>
      <c r="Q79" s="115"/>
      <c r="R79" s="115">
        <v>640.26945198299745</v>
      </c>
      <c r="S79" s="115"/>
      <c r="T79" s="80"/>
      <c r="U79" s="115">
        <v>5987.0365576271024</v>
      </c>
      <c r="V79" s="115"/>
      <c r="W79" s="115"/>
      <c r="X79" s="115">
        <v>1</v>
      </c>
      <c r="Y79" s="115"/>
      <c r="Z79" s="115"/>
      <c r="AA79" s="115"/>
      <c r="AB79"/>
      <c r="AC79" s="117"/>
      <c r="AD79"/>
    </row>
    <row r="80" spans="1:30" x14ac:dyDescent="0.2">
      <c r="A80" s="75">
        <v>2020</v>
      </c>
      <c r="B80" s="76" t="s">
        <v>59</v>
      </c>
      <c r="C80" s="116">
        <f t="shared" si="0"/>
        <v>29644.647921282853</v>
      </c>
      <c r="D80" s="115">
        <v>36368524</v>
      </c>
      <c r="E80" s="115"/>
      <c r="F80" s="115"/>
      <c r="G80" s="115">
        <v>26961.328307384756</v>
      </c>
      <c r="H80" s="115"/>
      <c r="I80" s="115">
        <v>2488.9517692273239</v>
      </c>
      <c r="J80" s="115"/>
      <c r="K80" s="115"/>
      <c r="L80" s="115">
        <v>193.36784467077325</v>
      </c>
      <c r="M80" s="115"/>
      <c r="N80" s="115"/>
      <c r="O80" s="115">
        <v>46.038770931774145</v>
      </c>
      <c r="P80" s="115"/>
      <c r="Q80" s="115"/>
      <c r="R80" s="115">
        <v>639.12645164697756</v>
      </c>
      <c r="S80" s="115"/>
      <c r="T80" s="80"/>
      <c r="U80" s="115">
        <v>5993.0928487202345</v>
      </c>
      <c r="V80" s="115"/>
      <c r="W80" s="115"/>
      <c r="X80" s="115">
        <v>1</v>
      </c>
      <c r="Y80" s="115"/>
      <c r="Z80" s="115"/>
      <c r="AA80" s="115"/>
      <c r="AB80"/>
      <c r="AC80" s="117"/>
      <c r="AD80"/>
    </row>
    <row r="81" spans="1:30" x14ac:dyDescent="0.2">
      <c r="A81" s="75">
        <v>2020</v>
      </c>
      <c r="B81" s="76" t="s">
        <v>60</v>
      </c>
      <c r="C81" s="116">
        <f t="shared" si="0"/>
        <v>29667.392071605875</v>
      </c>
      <c r="D81" s="115">
        <v>35464048</v>
      </c>
      <c r="E81" s="115"/>
      <c r="F81" s="115"/>
      <c r="G81" s="115">
        <v>26983.937818171147</v>
      </c>
      <c r="H81" s="115"/>
      <c r="I81" s="115">
        <v>2488.5327686312417</v>
      </c>
      <c r="J81" s="115"/>
      <c r="K81" s="115"/>
      <c r="L81" s="115">
        <v>193.92148480348661</v>
      </c>
      <c r="M81" s="115"/>
      <c r="N81" s="115"/>
      <c r="O81" s="115">
        <v>46.054350825020087</v>
      </c>
      <c r="P81" s="115"/>
      <c r="Q81" s="115"/>
      <c r="R81" s="115">
        <v>637.9854917796448</v>
      </c>
      <c r="S81" s="115"/>
      <c r="T81" s="80"/>
      <c r="U81" s="115">
        <v>5999.1552661600908</v>
      </c>
      <c r="V81" s="115"/>
      <c r="W81" s="115"/>
      <c r="X81" s="115">
        <v>1</v>
      </c>
      <c r="Y81" s="115"/>
      <c r="Z81" s="115"/>
      <c r="AA81" s="115"/>
      <c r="AB81"/>
      <c r="AC81" s="117"/>
      <c r="AD81"/>
    </row>
    <row r="82" spans="1:30" x14ac:dyDescent="0.2">
      <c r="A82" s="75">
        <v>2020</v>
      </c>
      <c r="B82" s="76" t="s">
        <v>61</v>
      </c>
      <c r="C82" s="116">
        <f t="shared" si="0"/>
        <v>29690.156837735507</v>
      </c>
      <c r="D82" s="115">
        <v>36859381</v>
      </c>
      <c r="E82" s="115"/>
      <c r="F82" s="115"/>
      <c r="G82" s="115">
        <v>27006.566289075978</v>
      </c>
      <c r="H82" s="115"/>
      <c r="I82" s="115">
        <v>2488.1138385714798</v>
      </c>
      <c r="J82" s="115"/>
      <c r="K82" s="115"/>
      <c r="L82" s="115">
        <v>194.47671008804915</v>
      </c>
      <c r="M82" s="115"/>
      <c r="N82" s="115"/>
      <c r="O82" s="115">
        <v>46.069935990628181</v>
      </c>
      <c r="P82" s="115"/>
      <c r="Q82" s="115"/>
      <c r="R82" s="115">
        <v>636.8465687383823</v>
      </c>
      <c r="S82" s="115"/>
      <c r="T82" s="80"/>
      <c r="U82" s="115">
        <v>6005.2238161438845</v>
      </c>
      <c r="V82" s="115"/>
      <c r="W82" s="115"/>
      <c r="X82" s="115">
        <v>1</v>
      </c>
      <c r="Y82" s="115"/>
      <c r="Z82" s="115"/>
      <c r="AA82" s="115"/>
      <c r="AB82"/>
      <c r="AC82" s="117"/>
      <c r="AD82"/>
    </row>
    <row r="83" spans="1:30" x14ac:dyDescent="0.2">
      <c r="A83" s="75">
        <v>2020</v>
      </c>
      <c r="B83" s="76" t="s">
        <v>62</v>
      </c>
      <c r="C83" s="116">
        <f t="shared" si="0"/>
        <v>29712.942240098168</v>
      </c>
      <c r="D83" s="115">
        <v>42748295</v>
      </c>
      <c r="E83" s="115"/>
      <c r="F83" s="115">
        <f>Averages!B22</f>
        <v>220200219.66</v>
      </c>
      <c r="G83" s="115">
        <v>27029.213735999023</v>
      </c>
      <c r="H83" s="115">
        <f>Averages!D22</f>
        <v>63219121.670000002</v>
      </c>
      <c r="I83" s="115">
        <v>2487.6949790361641</v>
      </c>
      <c r="J83" s="115">
        <f>Averages!F22</f>
        <v>169630766.96000001</v>
      </c>
      <c r="K83" s="115">
        <f>Averages!G22</f>
        <v>527483.83000000007</v>
      </c>
      <c r="L83" s="115">
        <v>195.03352506298009</v>
      </c>
      <c r="M83" s="115">
        <f>Averages!I22</f>
        <v>1307649.58</v>
      </c>
      <c r="N83" s="115"/>
      <c r="O83" s="115">
        <v>46.085526430382643</v>
      </c>
      <c r="P83" s="115">
        <f>Averages!K22</f>
        <v>525914.77999999991</v>
      </c>
      <c r="Q83" s="115">
        <f>Averages!L22</f>
        <v>1722.9099999999999</v>
      </c>
      <c r="R83" s="115">
        <v>635.70967888707571</v>
      </c>
      <c r="S83" s="115">
        <f>Averages!N22</f>
        <v>1425844.32</v>
      </c>
      <c r="T83" s="115">
        <f>Averages!O22</f>
        <v>4348.49</v>
      </c>
      <c r="U83" s="115">
        <v>6011.298504875097</v>
      </c>
      <c r="V83" s="115">
        <f>Averages!Q22</f>
        <v>5321960</v>
      </c>
      <c r="W83" s="115">
        <f>Averages!R22</f>
        <v>14339.56</v>
      </c>
      <c r="X83" s="115">
        <v>1</v>
      </c>
      <c r="Y83" s="115"/>
      <c r="Z83" s="115"/>
      <c r="AA83" s="115"/>
      <c r="AB83"/>
      <c r="AC83" s="117"/>
      <c r="AD83"/>
    </row>
    <row r="84" spans="1:30" x14ac:dyDescent="0.2">
      <c r="A84" s="75">
        <v>2021</v>
      </c>
      <c r="B84" s="76" t="s">
        <v>52</v>
      </c>
      <c r="C84" s="116">
        <f t="shared" si="0"/>
        <v>29738.863243927466</v>
      </c>
      <c r="D84" s="114">
        <v>43973665.187200002</v>
      </c>
      <c r="E84" s="114"/>
      <c r="F84" s="114"/>
      <c r="G84" s="114" cm="1">
        <f t="array" ref="G84:G95">'Monthly Customer Determination'!H4:H15</f>
        <v>27053.256114031508</v>
      </c>
      <c r="H84" s="114"/>
      <c r="I84" s="114" cm="1">
        <f t="array" ref="I84:I95">'Monthly Customer Determination'!H23:H34</f>
        <v>2488.9702744383881</v>
      </c>
      <c r="J84" s="114"/>
      <c r="K84" s="114"/>
      <c r="L84" s="114" cm="1">
        <f t="array" ref="L84:L95">'Monthly Customer Determination'!H42:H53</f>
        <v>195.63685545757085</v>
      </c>
      <c r="M84" s="114"/>
      <c r="N84" s="114"/>
      <c r="O84" s="114" cm="1">
        <f t="array" ref="O84:O95">'Monthly Customer Determination'!H61:H72</f>
        <v>45.916355644359996</v>
      </c>
      <c r="P84" s="114"/>
      <c r="Q84" s="114"/>
      <c r="R84" s="114" cm="1">
        <f t="array" ref="R84:R95">'Monthly Customer Determination'!H81:H92</f>
        <v>636.2144061158973</v>
      </c>
      <c r="S84" s="114"/>
      <c r="T84" s="78"/>
      <c r="U84" s="114" cm="1">
        <f t="array" ref="U84:U95">'Monthly Customer Determination'!H101:H112</f>
        <v>6010.9448124425717</v>
      </c>
      <c r="V84" s="114"/>
      <c r="W84" s="114"/>
      <c r="X84" s="114">
        <v>1</v>
      </c>
      <c r="Y84" s="114"/>
      <c r="Z84" s="114"/>
      <c r="AA84" s="114"/>
      <c r="AB84"/>
      <c r="AC84" s="117"/>
      <c r="AD84"/>
    </row>
    <row r="85" spans="1:30" x14ac:dyDescent="0.2">
      <c r="A85" s="75">
        <v>2021</v>
      </c>
      <c r="B85" s="76" t="s">
        <v>53</v>
      </c>
      <c r="C85" s="116">
        <f t="shared" si="0"/>
        <v>29764.808153510119</v>
      </c>
      <c r="D85" s="115">
        <v>40785728.859999999</v>
      </c>
      <c r="E85" s="115"/>
      <c r="F85" s="115"/>
      <c r="G85" s="115">
        <v>27077.319877663558</v>
      </c>
      <c r="H85" s="115"/>
      <c r="I85" s="115">
        <v>2490.2462236098149</v>
      </c>
      <c r="J85" s="115"/>
      <c r="K85" s="115"/>
      <c r="L85" s="115">
        <v>196.24205223674815</v>
      </c>
      <c r="M85" s="115"/>
      <c r="N85" s="115"/>
      <c r="O85" s="115">
        <v>45.747805850589366</v>
      </c>
      <c r="P85" s="115"/>
      <c r="Q85" s="115"/>
      <c r="R85" s="115">
        <v>636.71953407729222</v>
      </c>
      <c r="S85" s="115"/>
      <c r="T85" s="80"/>
      <c r="U85" s="115">
        <v>6010.5911408205811</v>
      </c>
      <c r="V85" s="115"/>
      <c r="W85" s="115"/>
      <c r="X85" s="115">
        <v>1</v>
      </c>
      <c r="Y85" s="115"/>
      <c r="Z85" s="115"/>
      <c r="AA85" s="115"/>
      <c r="AB85"/>
      <c r="AC85" s="117"/>
      <c r="AD85"/>
    </row>
    <row r="86" spans="1:30" x14ac:dyDescent="0.2">
      <c r="A86" s="75">
        <v>2021</v>
      </c>
      <c r="B86" s="76" t="s">
        <v>54</v>
      </c>
      <c r="C86" s="116">
        <f t="shared" si="0"/>
        <v>29790.776993977288</v>
      </c>
      <c r="D86" s="115">
        <v>40511516.95000001</v>
      </c>
      <c r="E86" s="115"/>
      <c r="F86" s="115"/>
      <c r="G86" s="115">
        <v>27101.405045917578</v>
      </c>
      <c r="H86" s="115"/>
      <c r="I86" s="115">
        <v>2491.5228268855935</v>
      </c>
      <c r="J86" s="115"/>
      <c r="K86" s="115"/>
      <c r="L86" s="115">
        <v>196.84912117411707</v>
      </c>
      <c r="M86" s="115"/>
      <c r="N86" s="115"/>
      <c r="O86" s="115">
        <v>45.579874769531919</v>
      </c>
      <c r="P86" s="115"/>
      <c r="Q86" s="115"/>
      <c r="R86" s="115">
        <v>637.22506308942559</v>
      </c>
      <c r="S86" s="115"/>
      <c r="T86" s="80"/>
      <c r="U86" s="115">
        <v>6010.2374900079012</v>
      </c>
      <c r="V86" s="115"/>
      <c r="W86" s="115"/>
      <c r="X86" s="115">
        <v>1</v>
      </c>
      <c r="Y86" s="115"/>
      <c r="Z86" s="115"/>
      <c r="AA86" s="115"/>
      <c r="AB86"/>
      <c r="AC86" s="117"/>
      <c r="AD86"/>
    </row>
    <row r="87" spans="1:30" x14ac:dyDescent="0.2">
      <c r="A87" s="75">
        <v>2021</v>
      </c>
      <c r="B87" s="76" t="s">
        <v>55</v>
      </c>
      <c r="C87" s="116">
        <f t="shared" si="0"/>
        <v>29816.769790495076</v>
      </c>
      <c r="D87" s="115">
        <v>34865218.751199998</v>
      </c>
      <c r="E87" s="115"/>
      <c r="F87" s="115"/>
      <c r="G87" s="115">
        <v>27125.511637832889</v>
      </c>
      <c r="H87" s="115"/>
      <c r="I87" s="115">
        <v>2492.800084601045</v>
      </c>
      <c r="J87" s="115"/>
      <c r="K87" s="115"/>
      <c r="L87" s="115">
        <v>197.45806806114317</v>
      </c>
      <c r="M87" s="115"/>
      <c r="N87" s="115"/>
      <c r="O87" s="115">
        <v>45.412560130016544</v>
      </c>
      <c r="P87" s="115"/>
      <c r="Q87" s="115"/>
      <c r="R87" s="115">
        <v>637.73099347071513</v>
      </c>
      <c r="S87" s="115"/>
      <c r="T87" s="80"/>
      <c r="U87" s="115">
        <v>6009.8838600033077</v>
      </c>
      <c r="V87" s="115"/>
      <c r="W87" s="115"/>
      <c r="X87" s="115">
        <v>1</v>
      </c>
      <c r="Y87" s="115"/>
      <c r="Z87" s="115"/>
      <c r="AA87" s="115"/>
      <c r="AB87"/>
      <c r="AC87" s="117"/>
      <c r="AD87"/>
    </row>
    <row r="88" spans="1:30" x14ac:dyDescent="0.2">
      <c r="A88" s="75">
        <v>2021</v>
      </c>
      <c r="B88" s="76" t="s">
        <v>31</v>
      </c>
      <c r="C88" s="116">
        <f t="shared" si="0"/>
        <v>29842.786568264626</v>
      </c>
      <c r="D88" s="115">
        <v>35720582.787200004</v>
      </c>
      <c r="E88" s="115"/>
      <c r="F88" s="115"/>
      <c r="G88" s="115">
        <v>27149.639672465757</v>
      </c>
      <c r="H88" s="115"/>
      <c r="I88" s="115">
        <v>2494.0779970916619</v>
      </c>
      <c r="J88" s="115"/>
      <c r="K88" s="115"/>
      <c r="L88" s="115">
        <v>198.06889870720767</v>
      </c>
      <c r="M88" s="115"/>
      <c r="N88" s="115"/>
      <c r="O88" s="115">
        <v>45.24585966920916</v>
      </c>
      <c r="P88" s="115"/>
      <c r="Q88" s="115"/>
      <c r="R88" s="115">
        <v>638.23732553983143</v>
      </c>
      <c r="S88" s="115"/>
      <c r="T88" s="80"/>
      <c r="U88" s="115">
        <v>6009.5302508055756</v>
      </c>
      <c r="V88" s="115"/>
      <c r="W88" s="115"/>
      <c r="X88" s="115">
        <v>1</v>
      </c>
      <c r="Y88" s="115"/>
      <c r="Z88" s="115"/>
      <c r="AA88" s="115"/>
      <c r="AB88"/>
      <c r="AC88" s="117"/>
      <c r="AD88"/>
    </row>
    <row r="89" spans="1:30" x14ac:dyDescent="0.2">
      <c r="A89" s="75">
        <v>2021</v>
      </c>
      <c r="B89" s="76" t="s">
        <v>56</v>
      </c>
      <c r="C89" s="116">
        <f t="shared" ref="C89:C142" si="1">SUM(G89,I89,L89,X89)</f>
        <v>29868.827352522167</v>
      </c>
      <c r="D89" s="115">
        <v>40624792.780000001</v>
      </c>
      <c r="E89" s="115"/>
      <c r="F89" s="115"/>
      <c r="G89" s="115">
        <v>27173.789168889394</v>
      </c>
      <c r="H89" s="115"/>
      <c r="I89" s="115">
        <v>2495.3565646931092</v>
      </c>
      <c r="J89" s="115"/>
      <c r="K89" s="115"/>
      <c r="L89" s="115">
        <v>198.68161893966303</v>
      </c>
      <c r="M89" s="115"/>
      <c r="N89" s="115"/>
      <c r="O89" s="115">
        <v>45.079771132582081</v>
      </c>
      <c r="P89" s="115"/>
      <c r="Q89" s="115"/>
      <c r="R89" s="115">
        <v>638.74405961569789</v>
      </c>
      <c r="S89" s="115"/>
      <c r="T89" s="80"/>
      <c r="U89" s="115">
        <v>6009.1766624134807</v>
      </c>
      <c r="V89" s="115"/>
      <c r="W89" s="115"/>
      <c r="X89" s="115">
        <v>1</v>
      </c>
      <c r="Y89" s="115"/>
      <c r="Z89" s="115"/>
      <c r="AA89" s="115"/>
      <c r="AB89"/>
      <c r="AC89" s="117"/>
      <c r="AD89"/>
    </row>
    <row r="90" spans="1:30" x14ac:dyDescent="0.2">
      <c r="A90" s="75">
        <v>2021</v>
      </c>
      <c r="B90" s="76" t="s">
        <v>57</v>
      </c>
      <c r="C90" s="116">
        <f t="shared" si="1"/>
        <v>29894.892168539085</v>
      </c>
      <c r="D90" s="115">
        <v>44400730.75</v>
      </c>
      <c r="E90" s="115"/>
      <c r="F90" s="115"/>
      <c r="G90" s="115">
        <v>27197.960146193975</v>
      </c>
      <c r="H90" s="115"/>
      <c r="I90" s="115">
        <v>2496.6357877412242</v>
      </c>
      <c r="J90" s="115"/>
      <c r="K90" s="115"/>
      <c r="L90" s="115">
        <v>199.29623460388839</v>
      </c>
      <c r="M90" s="115"/>
      <c r="N90" s="115"/>
      <c r="O90" s="115">
        <v>44.914292273883561</v>
      </c>
      <c r="P90" s="115"/>
      <c r="Q90" s="115"/>
      <c r="R90" s="115">
        <v>639.25119601749134</v>
      </c>
      <c r="S90" s="115"/>
      <c r="T90" s="80"/>
      <c r="U90" s="115">
        <v>6008.8230948257997</v>
      </c>
      <c r="V90" s="115"/>
      <c r="W90" s="115"/>
      <c r="X90" s="115">
        <v>1</v>
      </c>
      <c r="Y90" s="115"/>
      <c r="Z90" s="115"/>
      <c r="AA90" s="115"/>
      <c r="AB90"/>
      <c r="AC90" s="117"/>
      <c r="AD90"/>
    </row>
    <row r="91" spans="1:30" x14ac:dyDescent="0.2">
      <c r="A91" s="75">
        <v>2021</v>
      </c>
      <c r="B91" s="76" t="s">
        <v>58</v>
      </c>
      <c r="C91" s="116">
        <f t="shared" si="1"/>
        <v>29920.981041622021</v>
      </c>
      <c r="D91" s="115">
        <v>52694375.509999998</v>
      </c>
      <c r="E91" s="115"/>
      <c r="F91" s="115"/>
      <c r="G91" s="115">
        <v>27222.152623486661</v>
      </c>
      <c r="H91" s="115"/>
      <c r="I91" s="115">
        <v>2497.9156665720157</v>
      </c>
      <c r="J91" s="115"/>
      <c r="K91" s="115"/>
      <c r="L91" s="115">
        <v>199.91275156334544</v>
      </c>
      <c r="M91" s="115"/>
      <c r="N91" s="115"/>
      <c r="O91" s="115">
        <v>44.749420855107388</v>
      </c>
      <c r="P91" s="115"/>
      <c r="Q91" s="115"/>
      <c r="R91" s="115">
        <v>639.758735064642</v>
      </c>
      <c r="S91" s="115"/>
      <c r="T91" s="80"/>
      <c r="U91" s="115">
        <v>6008.4695480413075</v>
      </c>
      <c r="V91" s="115"/>
      <c r="W91" s="115"/>
      <c r="X91" s="115">
        <v>1</v>
      </c>
      <c r="Y91" s="115"/>
      <c r="Z91" s="115"/>
      <c r="AA91" s="115"/>
      <c r="AB91"/>
      <c r="AC91" s="117"/>
      <c r="AD91"/>
    </row>
    <row r="92" spans="1:30" x14ac:dyDescent="0.2">
      <c r="A92" s="75">
        <v>2021</v>
      </c>
      <c r="B92" s="76" t="s">
        <v>59</v>
      </c>
      <c r="C92" s="116">
        <f t="shared" si="1"/>
        <v>29947.093997112901</v>
      </c>
      <c r="D92" s="115">
        <v>39413607.979999989</v>
      </c>
      <c r="E92" s="115"/>
      <c r="F92" s="115"/>
      <c r="G92" s="115">
        <v>27246.366619891603</v>
      </c>
      <c r="H92" s="115"/>
      <c r="I92" s="115">
        <v>2499.196201521665</v>
      </c>
      <c r="J92" s="115"/>
      <c r="K92" s="115"/>
      <c r="L92" s="115">
        <v>200.53117569963428</v>
      </c>
      <c r="M92" s="115"/>
      <c r="N92" s="115"/>
      <c r="O92" s="115">
        <v>44.585154646462627</v>
      </c>
      <c r="P92" s="115"/>
      <c r="Q92" s="115"/>
      <c r="R92" s="115">
        <v>640.26667707683362</v>
      </c>
      <c r="S92" s="115"/>
      <c r="T92" s="80"/>
      <c r="U92" s="115">
        <v>6008.1160220587808</v>
      </c>
      <c r="V92" s="115"/>
      <c r="W92" s="115"/>
      <c r="X92" s="115">
        <v>1</v>
      </c>
      <c r="Y92" s="115"/>
      <c r="Z92" s="115"/>
      <c r="AA92" s="115"/>
      <c r="AB92"/>
      <c r="AC92" s="117"/>
      <c r="AD92"/>
    </row>
    <row r="93" spans="1:30" x14ac:dyDescent="0.2">
      <c r="A93" s="75">
        <v>2021</v>
      </c>
      <c r="B93" s="76" t="s">
        <v>60</v>
      </c>
      <c r="C93" s="116">
        <f t="shared" si="1"/>
        <v>29973.231060389044</v>
      </c>
      <c r="D93" s="115">
        <v>37470498.5</v>
      </c>
      <c r="E93" s="115"/>
      <c r="F93" s="115"/>
      <c r="G93" s="115">
        <v>27270.602154549968</v>
      </c>
      <c r="H93" s="115"/>
      <c r="I93" s="115">
        <v>2500.4773929265257</v>
      </c>
      <c r="J93" s="115"/>
      <c r="K93" s="115"/>
      <c r="L93" s="115">
        <v>201.15151291254955</v>
      </c>
      <c r="M93" s="115"/>
      <c r="N93" s="115"/>
      <c r="O93" s="115">
        <v>44.421491426343458</v>
      </c>
      <c r="P93" s="115"/>
      <c r="Q93" s="115"/>
      <c r="R93" s="115">
        <v>640.77502237400381</v>
      </c>
      <c r="S93" s="115"/>
      <c r="T93" s="80"/>
      <c r="U93" s="115">
        <v>6007.7625168769946</v>
      </c>
      <c r="V93" s="115"/>
      <c r="W93" s="115"/>
      <c r="X93" s="115">
        <v>1</v>
      </c>
      <c r="Y93" s="115"/>
      <c r="Z93" s="115"/>
      <c r="AA93" s="115"/>
      <c r="AB93"/>
      <c r="AC93" s="117"/>
      <c r="AD93"/>
    </row>
    <row r="94" spans="1:30" x14ac:dyDescent="0.2">
      <c r="A94" s="75">
        <v>2021</v>
      </c>
      <c r="B94" s="76" t="s">
        <v>61</v>
      </c>
      <c r="C94" s="116">
        <f t="shared" si="1"/>
        <v>29999.392256863204</v>
      </c>
      <c r="D94" s="115">
        <v>39320668.089999996</v>
      </c>
      <c r="E94" s="115"/>
      <c r="F94" s="115"/>
      <c r="G94" s="115">
        <v>27294.859246619944</v>
      </c>
      <c r="H94" s="115"/>
      <c r="I94" s="115">
        <v>2501.759241123124</v>
      </c>
      <c r="J94" s="115"/>
      <c r="K94" s="115"/>
      <c r="L94" s="115">
        <v>201.77376912013676</v>
      </c>
      <c r="M94" s="115"/>
      <c r="N94" s="115"/>
      <c r="O94" s="115">
        <v>44.258428981299133</v>
      </c>
      <c r="P94" s="115"/>
      <c r="Q94" s="115"/>
      <c r="R94" s="115">
        <v>641.28377127634417</v>
      </c>
      <c r="S94" s="115"/>
      <c r="T94" s="80"/>
      <c r="U94" s="115">
        <v>6007.4090324947265</v>
      </c>
      <c r="V94" s="115"/>
      <c r="W94" s="115"/>
      <c r="X94" s="115">
        <v>1</v>
      </c>
      <c r="Y94" s="115"/>
      <c r="Z94" s="115"/>
      <c r="AA94" s="115"/>
      <c r="AB94"/>
      <c r="AC94" s="117"/>
      <c r="AD94"/>
    </row>
    <row r="95" spans="1:30" x14ac:dyDescent="0.2">
      <c r="A95" s="75">
        <v>2021</v>
      </c>
      <c r="B95" s="76" t="s">
        <v>62</v>
      </c>
      <c r="C95" s="116">
        <f t="shared" si="1"/>
        <v>30025.577611983674</v>
      </c>
      <c r="D95" s="115">
        <v>42199742.700000003</v>
      </c>
      <c r="E95" s="115"/>
      <c r="F95" s="115">
        <f>Averages!B23</f>
        <v>223186490.06</v>
      </c>
      <c r="G95" s="115">
        <v>27319.137915276766</v>
      </c>
      <c r="H95" s="115">
        <f>Averages!D23</f>
        <v>63093119.950000003</v>
      </c>
      <c r="I95" s="115">
        <v>2503.0417464481588</v>
      </c>
      <c r="J95" s="115">
        <f>Averages!F23</f>
        <v>173812299.56999999</v>
      </c>
      <c r="K95" s="115">
        <f>Averages!G23</f>
        <v>560531.96</v>
      </c>
      <c r="L95" s="115">
        <v>202.39795025874875</v>
      </c>
      <c r="M95" s="115">
        <f>Averages!I23</f>
        <v>1288662.6200000001</v>
      </c>
      <c r="N95" s="115"/>
      <c r="O95" s="115">
        <v>44.095965106004044</v>
      </c>
      <c r="P95" s="115">
        <f>Averages!K23</f>
        <v>509735.7</v>
      </c>
      <c r="Q95" s="115">
        <f>Averages!L23</f>
        <v>1675.86</v>
      </c>
      <c r="R95" s="115">
        <v>641.79292410430048</v>
      </c>
      <c r="S95" s="115">
        <f>Averages!N23</f>
        <v>1423813.54</v>
      </c>
      <c r="T95" s="115">
        <f>Averages!O23</f>
        <v>4352.42</v>
      </c>
      <c r="U95" s="115">
        <v>6007.0555689107514</v>
      </c>
      <c r="V95" s="115">
        <f>Averages!Q23</f>
        <v>5543931.4199999999</v>
      </c>
      <c r="W95" s="115">
        <f>Averages!R23</f>
        <v>14862.9</v>
      </c>
      <c r="X95" s="115">
        <v>1</v>
      </c>
      <c r="Y95" s="115"/>
      <c r="Z95" s="115"/>
      <c r="AA95" s="115"/>
      <c r="AB95"/>
      <c r="AC95" s="117"/>
      <c r="AD95"/>
    </row>
    <row r="96" spans="1:30" x14ac:dyDescent="0.2">
      <c r="A96" s="75">
        <v>2022</v>
      </c>
      <c r="B96" s="76" t="s">
        <v>52</v>
      </c>
      <c r="C96" s="116">
        <f t="shared" si="1"/>
        <v>30058.277057116862</v>
      </c>
      <c r="D96" s="114">
        <v>48172108.559999995</v>
      </c>
      <c r="E96" s="114"/>
      <c r="F96" s="114"/>
      <c r="G96" s="114" cm="1">
        <f t="array" ref="G96:G107">'Monthly Customer Determination'!I4:I15</f>
        <v>27349.759725435626</v>
      </c>
      <c r="H96" s="114"/>
      <c r="I96" s="114" cm="1">
        <f t="array" ref="I96:I107">'Monthly Customer Determination'!I23:I34</f>
        <v>2505.3352930095139</v>
      </c>
      <c r="J96" s="114"/>
      <c r="K96" s="114"/>
      <c r="L96" s="114" cm="1">
        <f t="array" ref="L96:L107">'Monthly Customer Determination'!I42:I53</f>
        <v>202.18203867172127</v>
      </c>
      <c r="M96" s="114"/>
      <c r="N96" s="114"/>
      <c r="O96" s="114" cm="1">
        <f t="array" ref="O96:O107">'Monthly Customer Determination'!I61:I72</f>
        <v>43.925033414270388</v>
      </c>
      <c r="P96" s="114"/>
      <c r="Q96" s="114"/>
      <c r="R96" s="114" cm="1">
        <f t="array" ref="R96:R107">'Monthly Customer Determination'!I81:I92</f>
        <v>640.89713875209884</v>
      </c>
      <c r="S96" s="114"/>
      <c r="T96" s="78"/>
      <c r="U96" s="114" cm="1">
        <f t="array" ref="U96:U107">'Monthly Customer Determination'!I101:I112</f>
        <v>6008.1232468372291</v>
      </c>
      <c r="V96" s="114"/>
      <c r="W96" s="114"/>
      <c r="X96" s="114">
        <v>1</v>
      </c>
      <c r="Y96" s="114"/>
      <c r="Z96" s="114"/>
      <c r="AA96" s="114"/>
      <c r="AB96"/>
      <c r="AC96" s="117"/>
      <c r="AD96"/>
    </row>
    <row r="97" spans="1:30" x14ac:dyDescent="0.2">
      <c r="A97" s="75">
        <v>2022</v>
      </c>
      <c r="B97" s="76" t="s">
        <v>53</v>
      </c>
      <c r="C97" s="116">
        <f t="shared" si="1"/>
        <v>30091.013157912788</v>
      </c>
      <c r="D97" s="115">
        <v>42676055.632399999</v>
      </c>
      <c r="E97" s="115"/>
      <c r="F97" s="115"/>
      <c r="G97" s="115">
        <v>27380.415859344394</v>
      </c>
      <c r="H97" s="115"/>
      <c r="I97" s="115">
        <v>2507.6309411562047</v>
      </c>
      <c r="J97" s="115"/>
      <c r="K97" s="115"/>
      <c r="L97" s="115">
        <v>201.96635741219146</v>
      </c>
      <c r="M97" s="115"/>
      <c r="N97" s="115"/>
      <c r="O97" s="115">
        <v>43.754764314752791</v>
      </c>
      <c r="P97" s="115"/>
      <c r="Q97" s="115"/>
      <c r="R97" s="115">
        <v>640.00260369631997</v>
      </c>
      <c r="S97" s="115"/>
      <c r="T97" s="80"/>
      <c r="U97" s="115">
        <v>6009.1911145299146</v>
      </c>
      <c r="V97" s="115"/>
      <c r="W97" s="115"/>
      <c r="X97" s="115">
        <v>1</v>
      </c>
      <c r="Y97" s="115"/>
      <c r="Z97" s="115"/>
      <c r="AA97" s="115"/>
      <c r="AB97"/>
      <c r="AC97" s="117"/>
      <c r="AD97"/>
    </row>
    <row r="98" spans="1:30" x14ac:dyDescent="0.2">
      <c r="A98" s="75">
        <v>2022</v>
      </c>
      <c r="B98" s="76" t="s">
        <v>54</v>
      </c>
      <c r="C98" s="116">
        <f t="shared" si="1"/>
        <v>30123.785954524665</v>
      </c>
      <c r="D98" s="115">
        <v>43515603.909999996</v>
      </c>
      <c r="E98" s="115"/>
      <c r="F98" s="115"/>
      <c r="G98" s="115">
        <v>27411.106355476288</v>
      </c>
      <c r="H98" s="115"/>
      <c r="I98" s="115">
        <v>2509.9286928139218</v>
      </c>
      <c r="J98" s="115"/>
      <c r="K98" s="115"/>
      <c r="L98" s="115">
        <v>201.75090623445337</v>
      </c>
      <c r="M98" s="115"/>
      <c r="N98" s="115"/>
      <c r="O98" s="115">
        <v>43.585155239007449</v>
      </c>
      <c r="P98" s="115"/>
      <c r="Q98" s="115"/>
      <c r="R98" s="115">
        <v>639.10931719185714</v>
      </c>
      <c r="S98" s="115"/>
      <c r="T98" s="80"/>
      <c r="U98" s="115">
        <v>6010.2591720225364</v>
      </c>
      <c r="V98" s="115"/>
      <c r="W98" s="115"/>
      <c r="X98" s="115">
        <v>1</v>
      </c>
      <c r="Y98" s="115"/>
      <c r="Z98" s="115"/>
      <c r="AA98" s="115"/>
      <c r="AB98"/>
      <c r="AC98" s="117"/>
      <c r="AD98"/>
    </row>
    <row r="99" spans="1:30" x14ac:dyDescent="0.2">
      <c r="A99" s="75">
        <v>2022</v>
      </c>
      <c r="B99" s="76" t="s">
        <v>55</v>
      </c>
      <c r="C99" s="116">
        <f t="shared" si="1"/>
        <v>30156.595487150847</v>
      </c>
      <c r="D99" s="115">
        <v>37355907.443600006</v>
      </c>
      <c r="E99" s="115"/>
      <c r="F99" s="115"/>
      <c r="G99" s="115">
        <v>27441.831252347663</v>
      </c>
      <c r="H99" s="115"/>
      <c r="I99" s="115">
        <v>2512.2285499101204</v>
      </c>
      <c r="J99" s="115"/>
      <c r="K99" s="115"/>
      <c r="L99" s="115">
        <v>201.53568489306318</v>
      </c>
      <c r="M99" s="115"/>
      <c r="N99" s="115"/>
      <c r="O99" s="115">
        <v>43.416203628546761</v>
      </c>
      <c r="P99" s="115"/>
      <c r="Q99" s="115"/>
      <c r="R99" s="115">
        <v>638.21727749603929</v>
      </c>
      <c r="S99" s="115"/>
      <c r="T99" s="80"/>
      <c r="U99" s="115">
        <v>6011.3274193488287</v>
      </c>
      <c r="V99" s="115"/>
      <c r="W99" s="115"/>
      <c r="X99" s="115">
        <v>1</v>
      </c>
      <c r="Y99" s="115"/>
      <c r="Z99" s="115"/>
      <c r="AA99" s="115"/>
      <c r="AB99"/>
      <c r="AC99" s="117"/>
      <c r="AD99"/>
    </row>
    <row r="100" spans="1:30" x14ac:dyDescent="0.2">
      <c r="A100" s="75">
        <v>2022</v>
      </c>
      <c r="B100" s="76" t="s">
        <v>31</v>
      </c>
      <c r="C100" s="116">
        <f t="shared" si="1"/>
        <v>30189.441796034902</v>
      </c>
      <c r="D100" s="115">
        <v>37326855.189999998</v>
      </c>
      <c r="E100" s="115"/>
      <c r="F100" s="115"/>
      <c r="G100" s="115">
        <v>27472.59058851804</v>
      </c>
      <c r="H100" s="115"/>
      <c r="I100" s="115">
        <v>2514.5305143740215</v>
      </c>
      <c r="J100" s="115"/>
      <c r="K100" s="115"/>
      <c r="L100" s="115">
        <v>201.32069314283893</v>
      </c>
      <c r="M100" s="115"/>
      <c r="N100" s="115"/>
      <c r="O100" s="115">
        <v>43.247906934800739</v>
      </c>
      <c r="P100" s="115"/>
      <c r="Q100" s="115"/>
      <c r="R100" s="115">
        <v>637.32648286862752</v>
      </c>
      <c r="S100" s="115"/>
      <c r="T100" s="80"/>
      <c r="U100" s="115">
        <v>6012.3958565425328</v>
      </c>
      <c r="V100" s="115"/>
      <c r="W100" s="115"/>
      <c r="X100" s="115">
        <v>1</v>
      </c>
      <c r="Y100" s="115"/>
      <c r="Z100" s="115"/>
      <c r="AA100" s="115"/>
      <c r="AB100"/>
      <c r="AC100" s="117"/>
      <c r="AD100"/>
    </row>
    <row r="101" spans="1:30" x14ac:dyDescent="0.2">
      <c r="A101" s="75">
        <v>2022</v>
      </c>
      <c r="B101" s="76" t="s">
        <v>56</v>
      </c>
      <c r="C101" s="116">
        <f t="shared" si="1"/>
        <v>30222.324921465639</v>
      </c>
      <c r="D101" s="115">
        <v>40689849.420000002</v>
      </c>
      <c r="E101" s="115"/>
      <c r="F101" s="115"/>
      <c r="G101" s="115">
        <v>27503.384402590164</v>
      </c>
      <c r="H101" s="115"/>
      <c r="I101" s="115">
        <v>2516.834588136614</v>
      </c>
      <c r="J101" s="115"/>
      <c r="K101" s="115"/>
      <c r="L101" s="115">
        <v>201.1059307388602</v>
      </c>
      <c r="M101" s="115"/>
      <c r="N101" s="115"/>
      <c r="O101" s="115">
        <v>43.08026261907856</v>
      </c>
      <c r="P101" s="115"/>
      <c r="Q101" s="115"/>
      <c r="R101" s="115">
        <v>636.43693157181212</v>
      </c>
      <c r="S101" s="115"/>
      <c r="T101" s="80"/>
      <c r="U101" s="115">
        <v>6013.4644836373946</v>
      </c>
      <c r="V101" s="115"/>
      <c r="W101" s="115"/>
      <c r="X101" s="115">
        <v>1</v>
      </c>
      <c r="Y101" s="115"/>
      <c r="Z101" s="115"/>
      <c r="AA101" s="115"/>
      <c r="AB101"/>
      <c r="AC101" s="117"/>
      <c r="AD101"/>
    </row>
    <row r="102" spans="1:30" x14ac:dyDescent="0.2">
      <c r="A102" s="75">
        <v>2022</v>
      </c>
      <c r="B102" s="76" t="s">
        <v>57</v>
      </c>
      <c r="C102" s="116">
        <f t="shared" si="1"/>
        <v>30255.244903777173</v>
      </c>
      <c r="D102" s="115">
        <v>48663334.230000004</v>
      </c>
      <c r="E102" s="115"/>
      <c r="F102" s="115"/>
      <c r="G102" s="115">
        <v>27534.212733210046</v>
      </c>
      <c r="H102" s="115"/>
      <c r="I102" s="115">
        <v>2519.1407731306563</v>
      </c>
      <c r="J102" s="115"/>
      <c r="K102" s="115"/>
      <c r="L102" s="115">
        <v>200.8913974364678</v>
      </c>
      <c r="M102" s="115"/>
      <c r="N102" s="115"/>
      <c r="O102" s="115">
        <v>42.913268152530264</v>
      </c>
      <c r="P102" s="115"/>
      <c r="Q102" s="115"/>
      <c r="R102" s="115">
        <v>635.54862187020876</v>
      </c>
      <c r="S102" s="115"/>
      <c r="T102" s="80"/>
      <c r="U102" s="115">
        <v>6014.5333006671663</v>
      </c>
      <c r="V102" s="115"/>
      <c r="W102" s="115"/>
      <c r="X102" s="115">
        <v>1</v>
      </c>
      <c r="Y102" s="115"/>
      <c r="Z102" s="115"/>
      <c r="AA102" s="115"/>
      <c r="AB102"/>
      <c r="AC102" s="117"/>
      <c r="AD102"/>
    </row>
    <row r="103" spans="1:30" x14ac:dyDescent="0.2">
      <c r="A103" s="75">
        <v>2022</v>
      </c>
      <c r="B103" s="76" t="s">
        <v>58</v>
      </c>
      <c r="C103" s="116">
        <f t="shared" si="1"/>
        <v>30288.201783348959</v>
      </c>
      <c r="D103" s="115">
        <v>50305270.650000006</v>
      </c>
      <c r="E103" s="115"/>
      <c r="F103" s="115"/>
      <c r="G103" s="115">
        <v>27565.075619067018</v>
      </c>
      <c r="H103" s="115"/>
      <c r="I103" s="115">
        <v>2521.4490712906777</v>
      </c>
      <c r="J103" s="115"/>
      <c r="K103" s="115"/>
      <c r="L103" s="115">
        <v>200.67709299126358</v>
      </c>
      <c r="M103" s="115"/>
      <c r="N103" s="115"/>
      <c r="O103" s="115">
        <v>42.746921016108629</v>
      </c>
      <c r="P103" s="115"/>
      <c r="Q103" s="115"/>
      <c r="R103" s="115">
        <v>634.66155203085543</v>
      </c>
      <c r="S103" s="115"/>
      <c r="T103" s="80"/>
      <c r="U103" s="115">
        <v>6015.6023076656065</v>
      </c>
      <c r="V103" s="115"/>
      <c r="W103" s="115"/>
      <c r="X103" s="115">
        <v>1</v>
      </c>
      <c r="Y103" s="115"/>
      <c r="Z103" s="115"/>
      <c r="AA103" s="115"/>
      <c r="AB103"/>
      <c r="AC103" s="117"/>
      <c r="AD103"/>
    </row>
    <row r="104" spans="1:30" x14ac:dyDescent="0.2">
      <c r="A104" s="75">
        <v>2022</v>
      </c>
      <c r="B104" s="76" t="s">
        <v>59</v>
      </c>
      <c r="C104" s="116">
        <f t="shared" si="1"/>
        <v>30321.195600605864</v>
      </c>
      <c r="D104" s="115">
        <v>39382537.389999993</v>
      </c>
      <c r="E104" s="115"/>
      <c r="F104" s="115"/>
      <c r="G104" s="115">
        <v>27595.973098893777</v>
      </c>
      <c r="H104" s="115"/>
      <c r="I104" s="115">
        <v>2523.7594845529802</v>
      </c>
      <c r="J104" s="115"/>
      <c r="K104" s="115"/>
      <c r="L104" s="115">
        <v>200.46301715911008</v>
      </c>
      <c r="M104" s="115"/>
      <c r="N104" s="115"/>
      <c r="O104" s="115">
        <v>42.581218700531153</v>
      </c>
      <c r="P104" s="115"/>
      <c r="Q104" s="115"/>
      <c r="R104" s="115">
        <v>633.77572032320882</v>
      </c>
      <c r="S104" s="115"/>
      <c r="T104" s="80"/>
      <c r="U104" s="115">
        <v>6016.6715046664804</v>
      </c>
      <c r="V104" s="115"/>
      <c r="W104" s="115"/>
      <c r="X104" s="115">
        <v>1</v>
      </c>
      <c r="Y104" s="115"/>
      <c r="Z104" s="115"/>
      <c r="AA104" s="115"/>
      <c r="AB104"/>
      <c r="AC104" s="117"/>
      <c r="AD104"/>
    </row>
    <row r="105" spans="1:30" x14ac:dyDescent="0.2">
      <c r="A105" s="75">
        <v>2022</v>
      </c>
      <c r="B105" s="76" t="s">
        <v>60</v>
      </c>
      <c r="C105" s="116">
        <f t="shared" si="1"/>
        <v>30354.226396018206</v>
      </c>
      <c r="D105" s="115">
        <v>37553806.789999999</v>
      </c>
      <c r="E105" s="115"/>
      <c r="F105" s="115"/>
      <c r="G105" s="115">
        <v>27626.905211466437</v>
      </c>
      <c r="H105" s="115"/>
      <c r="I105" s="115">
        <v>2526.0720148556402</v>
      </c>
      <c r="J105" s="115"/>
      <c r="K105" s="115"/>
      <c r="L105" s="115">
        <v>200.24916969613031</v>
      </c>
      <c r="M105" s="115"/>
      <c r="N105" s="115"/>
      <c r="O105" s="115">
        <v>42.416158706242207</v>
      </c>
      <c r="P105" s="115"/>
      <c r="Q105" s="115"/>
      <c r="R105" s="115">
        <v>632.89112501914099</v>
      </c>
      <c r="S105" s="115"/>
      <c r="T105" s="80"/>
      <c r="U105" s="115">
        <v>6017.7408917035582</v>
      </c>
      <c r="V105" s="115"/>
      <c r="W105" s="115"/>
      <c r="X105" s="115">
        <v>1</v>
      </c>
      <c r="Y105" s="115"/>
      <c r="Z105" s="115"/>
      <c r="AA105" s="115"/>
      <c r="AB105"/>
      <c r="AC105" s="117"/>
      <c r="AD105"/>
    </row>
    <row r="106" spans="1:30" x14ac:dyDescent="0.2">
      <c r="A106" s="75">
        <v>2022</v>
      </c>
      <c r="B106" s="76" t="s">
        <v>61</v>
      </c>
      <c r="C106" s="116">
        <f t="shared" si="1"/>
        <v>30387.294210101794</v>
      </c>
      <c r="D106" s="115">
        <v>40003680.919999994</v>
      </c>
      <c r="E106" s="115"/>
      <c r="F106" s="115"/>
      <c r="G106" s="115">
        <v>27657.871995604575</v>
      </c>
      <c r="H106" s="115"/>
      <c r="I106" s="115">
        <v>2528.3866641385093</v>
      </c>
      <c r="J106" s="115"/>
      <c r="K106" s="115"/>
      <c r="L106" s="115">
        <v>200.03555035870741</v>
      </c>
      <c r="M106" s="115"/>
      <c r="N106" s="115"/>
      <c r="O106" s="115">
        <v>42.251738543375332</v>
      </c>
      <c r="P106" s="115"/>
      <c r="Q106" s="115"/>
      <c r="R106" s="115">
        <v>632.00776439293622</v>
      </c>
      <c r="S106" s="115"/>
      <c r="T106" s="80"/>
      <c r="U106" s="115">
        <v>6018.8104688106168</v>
      </c>
      <c r="V106" s="115"/>
      <c r="W106" s="115"/>
      <c r="X106" s="115">
        <v>1</v>
      </c>
      <c r="Y106" s="115"/>
      <c r="Z106" s="115"/>
      <c r="AA106" s="115"/>
      <c r="AB106"/>
      <c r="AC106" s="117"/>
      <c r="AD106"/>
    </row>
    <row r="107" spans="1:30" x14ac:dyDescent="0.2">
      <c r="A107" s="75">
        <v>2022</v>
      </c>
      <c r="B107" s="76" t="s">
        <v>62</v>
      </c>
      <c r="C107" s="116">
        <f t="shared" si="1"/>
        <v>30420.399083417979</v>
      </c>
      <c r="D107" s="115">
        <v>43494268.570000008</v>
      </c>
      <c r="E107" s="115"/>
      <c r="F107" s="115">
        <f>Averages!B24</f>
        <v>226316453.80000001</v>
      </c>
      <c r="G107" s="115">
        <v>27688.873490171278</v>
      </c>
      <c r="H107" s="115">
        <f>Averages!D24</f>
        <v>67968059.879999995</v>
      </c>
      <c r="I107" s="115">
        <v>2530.7034343432174</v>
      </c>
      <c r="J107" s="115">
        <f>Averages!F24</f>
        <v>179949732.97</v>
      </c>
      <c r="K107" s="115">
        <f>Averages!G24</f>
        <v>570326.93000000005</v>
      </c>
      <c r="L107" s="115">
        <v>199.82215890348445</v>
      </c>
      <c r="M107" s="115">
        <f>Averages!I24</f>
        <v>1284000.5900000001</v>
      </c>
      <c r="N107" s="115"/>
      <c r="O107" s="115">
        <v>42.087955731715681</v>
      </c>
      <c r="P107" s="115">
        <f>Averages!K24</f>
        <v>499744.99</v>
      </c>
      <c r="Q107" s="115">
        <f>Averages!L24</f>
        <v>1636.3300000000002</v>
      </c>
      <c r="R107" s="115">
        <v>631.12563672128726</v>
      </c>
      <c r="S107" s="115">
        <f>Averages!N24</f>
        <v>1423716.0799999998</v>
      </c>
      <c r="T107" s="115">
        <f>Averages!O24</f>
        <v>4352.42</v>
      </c>
      <c r="U107" s="115">
        <v>6019.8802360214377</v>
      </c>
      <c r="V107" s="115">
        <f>Averages!Q24</f>
        <v>5531274.6699999999</v>
      </c>
      <c r="W107" s="115">
        <f>Averages!R24</f>
        <v>15056.95</v>
      </c>
      <c r="X107" s="115">
        <v>1</v>
      </c>
      <c r="Y107" s="115"/>
      <c r="Z107" s="115"/>
      <c r="AA107" s="115"/>
      <c r="AB107"/>
      <c r="AC107" s="117"/>
      <c r="AD107"/>
    </row>
    <row r="108" spans="1:30" x14ac:dyDescent="0.2">
      <c r="A108" s="75">
        <v>2023</v>
      </c>
      <c r="B108" s="76" t="s">
        <v>52</v>
      </c>
      <c r="C108" s="116">
        <f t="shared" si="1"/>
        <v>30443.344336572201</v>
      </c>
      <c r="D108" s="114">
        <v>45510419.480000004</v>
      </c>
      <c r="E108" s="114"/>
      <c r="F108" s="114"/>
      <c r="G108" s="114" cm="1">
        <f t="array" ref="G108:G119">'Monthly Customer Determination'!J4:J15</f>
        <v>27711.89952184918</v>
      </c>
      <c r="H108" s="114"/>
      <c r="I108" s="114" cm="1">
        <f t="array" ref="I108:I119">'Monthly Customer Determination'!J23:J34</f>
        <v>2530.5953443304311</v>
      </c>
      <c r="J108" s="114"/>
      <c r="K108" s="114"/>
      <c r="L108" s="114" cm="1">
        <f t="array" ref="L108:L119">'Monthly Customer Determination'!J42:J53</f>
        <v>199.84947039258847</v>
      </c>
      <c r="M108" s="114"/>
      <c r="N108" s="114"/>
      <c r="O108" s="114" cm="1">
        <f t="array" ref="O108:O119">'Monthly Customer Determination'!J61:J72</f>
        <v>42.074425541831346</v>
      </c>
      <c r="P108" s="114"/>
      <c r="Q108" s="114"/>
      <c r="R108" s="114" cm="1">
        <f t="array" ref="R108:R119">'Monthly Customer Determination'!J81:J92</f>
        <v>630.48857144693932</v>
      </c>
      <c r="S108" s="114"/>
      <c r="T108" s="78"/>
      <c r="U108" s="114" cm="1">
        <f t="array" ref="U108:U119">'Monthly Customer Determination'!J101:J112</f>
        <v>6025.2655728807904</v>
      </c>
      <c r="V108" s="114"/>
      <c r="W108" s="114"/>
      <c r="X108" s="114">
        <v>1</v>
      </c>
      <c r="Y108" s="114"/>
      <c r="Z108" s="114"/>
      <c r="AA108" s="114"/>
      <c r="AB108"/>
      <c r="AC108" s="117"/>
      <c r="AD108"/>
    </row>
    <row r="109" spans="1:30" x14ac:dyDescent="0.2">
      <c r="A109" s="75">
        <v>2023</v>
      </c>
      <c r="B109" s="76" t="s">
        <v>53</v>
      </c>
      <c r="C109" s="116">
        <f t="shared" si="1"/>
        <v>30466.308746494415</v>
      </c>
      <c r="D109" s="115">
        <v>40593634.479999997</v>
      </c>
      <c r="E109" s="115"/>
      <c r="F109" s="115"/>
      <c r="G109" s="115">
        <v>27734.944701945489</v>
      </c>
      <c r="H109" s="115"/>
      <c r="I109" s="115">
        <v>2530.4872589343258</v>
      </c>
      <c r="J109" s="115"/>
      <c r="K109" s="115"/>
      <c r="L109" s="115">
        <v>199.87678561459902</v>
      </c>
      <c r="M109" s="115"/>
      <c r="N109" s="115"/>
      <c r="O109" s="115">
        <v>42.060899701553332</v>
      </c>
      <c r="P109" s="115"/>
      <c r="Q109" s="115"/>
      <c r="R109" s="115">
        <v>629.85214923340243</v>
      </c>
      <c r="S109" s="115"/>
      <c r="T109" s="80"/>
      <c r="U109" s="115">
        <v>6030.6557274195575</v>
      </c>
      <c r="V109" s="115"/>
      <c r="W109" s="115"/>
      <c r="X109" s="115">
        <v>1</v>
      </c>
      <c r="Y109" s="115"/>
      <c r="Z109" s="115"/>
      <c r="AA109" s="115"/>
      <c r="AB109"/>
      <c r="AC109" s="117"/>
      <c r="AD109"/>
    </row>
    <row r="110" spans="1:30" x14ac:dyDescent="0.2">
      <c r="A110" s="75">
        <v>2023</v>
      </c>
      <c r="B110" s="76" t="s">
        <v>54</v>
      </c>
      <c r="C110" s="116">
        <f t="shared" si="1"/>
        <v>30489.292329108735</v>
      </c>
      <c r="D110" s="115">
        <v>43934162.409999996</v>
      </c>
      <c r="E110" s="115"/>
      <c r="F110" s="115"/>
      <c r="G110" s="115">
        <v>27758.009046384006</v>
      </c>
      <c r="H110" s="115"/>
      <c r="I110" s="115">
        <v>2530.3791781547047</v>
      </c>
      <c r="J110" s="115"/>
      <c r="K110" s="115"/>
      <c r="L110" s="115">
        <v>199.90410457002628</v>
      </c>
      <c r="M110" s="115"/>
      <c r="N110" s="115"/>
      <c r="O110" s="115">
        <v>42.047378209483348</v>
      </c>
      <c r="P110" s="115"/>
      <c r="Q110" s="115"/>
      <c r="R110" s="115">
        <v>629.21636943156375</v>
      </c>
      <c r="S110" s="115"/>
      <c r="T110" s="80"/>
      <c r="U110" s="115">
        <v>6036.050703947596</v>
      </c>
      <c r="V110" s="115"/>
      <c r="W110" s="115"/>
      <c r="X110" s="115">
        <v>1</v>
      </c>
      <c r="Y110" s="115"/>
      <c r="Z110" s="115"/>
      <c r="AA110" s="115"/>
      <c r="AB110"/>
      <c r="AC110" s="117"/>
      <c r="AD110"/>
    </row>
    <row r="111" spans="1:30" x14ac:dyDescent="0.2">
      <c r="A111" s="75">
        <v>2023</v>
      </c>
      <c r="B111" s="76" t="s">
        <v>55</v>
      </c>
      <c r="C111" s="116">
        <f t="shared" si="1"/>
        <v>30512.295100352523</v>
      </c>
      <c r="D111" s="115">
        <v>36677861.57</v>
      </c>
      <c r="E111" s="115"/>
      <c r="F111" s="115"/>
      <c r="G111" s="115">
        <v>27781.092571101774</v>
      </c>
      <c r="H111" s="115"/>
      <c r="I111" s="115">
        <v>2530.2711019913704</v>
      </c>
      <c r="J111" s="115"/>
      <c r="K111" s="115"/>
      <c r="L111" s="115">
        <v>199.93142725938051</v>
      </c>
      <c r="M111" s="115"/>
      <c r="N111" s="115"/>
      <c r="O111" s="115">
        <v>42.033861064223565</v>
      </c>
      <c r="P111" s="115"/>
      <c r="Q111" s="115"/>
      <c r="R111" s="115">
        <v>628.58123139296572</v>
      </c>
      <c r="S111" s="115"/>
      <c r="T111" s="80"/>
      <c r="U111" s="115">
        <v>6041.4505067786195</v>
      </c>
      <c r="V111" s="115"/>
      <c r="W111" s="115"/>
      <c r="X111" s="115">
        <v>1</v>
      </c>
      <c r="Y111" s="115"/>
      <c r="Z111" s="115"/>
      <c r="AA111" s="115"/>
      <c r="AB111"/>
      <c r="AC111" s="117"/>
      <c r="AD111"/>
    </row>
    <row r="112" spans="1:30" x14ac:dyDescent="0.2">
      <c r="A112" s="75">
        <v>2023</v>
      </c>
      <c r="B112" s="76" t="s">
        <v>31</v>
      </c>
      <c r="C112" s="116">
        <f t="shared" si="1"/>
        <v>30535.317076176383</v>
      </c>
      <c r="D112" s="115">
        <v>36888674.030000001</v>
      </c>
      <c r="E112" s="115"/>
      <c r="F112" s="115"/>
      <c r="G112" s="115">
        <v>27804.195292049088</v>
      </c>
      <c r="H112" s="115"/>
      <c r="I112" s="115">
        <v>2530.1630304441255</v>
      </c>
      <c r="J112" s="115"/>
      <c r="K112" s="115"/>
      <c r="L112" s="115">
        <v>199.95875368317212</v>
      </c>
      <c r="M112" s="115"/>
      <c r="N112" s="115"/>
      <c r="O112" s="115">
        <v>42.020348264376594</v>
      </c>
      <c r="P112" s="115"/>
      <c r="Q112" s="115"/>
      <c r="R112" s="115">
        <v>627.94673446980528</v>
      </c>
      <c r="S112" s="115"/>
      <c r="T112" s="80"/>
      <c r="U112" s="115">
        <v>6046.8551402302</v>
      </c>
      <c r="V112" s="115"/>
      <c r="W112" s="115"/>
      <c r="X112" s="115">
        <v>1</v>
      </c>
      <c r="Y112" s="115"/>
      <c r="Z112" s="115"/>
      <c r="AA112" s="115"/>
      <c r="AB112"/>
      <c r="AC112" s="117"/>
      <c r="AD112"/>
    </row>
    <row r="113" spans="1:30" x14ac:dyDescent="0.2">
      <c r="A113" s="75">
        <v>2023</v>
      </c>
      <c r="B113" s="76" t="s">
        <v>56</v>
      </c>
      <c r="C113" s="116">
        <f t="shared" si="1"/>
        <v>30558.358272544192</v>
      </c>
      <c r="D113" s="115">
        <v>40222295.869999997</v>
      </c>
      <c r="E113" s="115"/>
      <c r="F113" s="115"/>
      <c r="G113" s="115">
        <v>27827.317225189508</v>
      </c>
      <c r="H113" s="115"/>
      <c r="I113" s="115">
        <v>2530.0549635127732</v>
      </c>
      <c r="J113" s="115"/>
      <c r="K113" s="115"/>
      <c r="L113" s="115">
        <v>199.98608384191147</v>
      </c>
      <c r="M113" s="115"/>
      <c r="N113" s="115"/>
      <c r="O113" s="115">
        <v>42.0068398085455</v>
      </c>
      <c r="P113" s="115"/>
      <c r="Q113" s="115"/>
      <c r="R113" s="115">
        <v>627.31287801493352</v>
      </c>
      <c r="S113" s="115"/>
      <c r="T113" s="80"/>
      <c r="U113" s="115">
        <v>6052.2646086237728</v>
      </c>
      <c r="V113" s="115"/>
      <c r="W113" s="115"/>
      <c r="X113" s="115">
        <v>1</v>
      </c>
      <c r="Y113" s="115"/>
      <c r="Z113" s="115"/>
      <c r="AA113" s="115"/>
      <c r="AB113"/>
      <c r="AC113" s="117"/>
      <c r="AD113"/>
    </row>
    <row r="114" spans="1:30" x14ac:dyDescent="0.2">
      <c r="A114" s="75">
        <v>2023</v>
      </c>
      <c r="B114" s="76" t="s">
        <v>57</v>
      </c>
      <c r="C114" s="116">
        <f t="shared" si="1"/>
        <v>30581.418705433098</v>
      </c>
      <c r="D114" s="115">
        <v>49568677.709999993</v>
      </c>
      <c r="E114" s="115"/>
      <c r="F114" s="115"/>
      <c r="G114" s="115">
        <v>27850.458386499871</v>
      </c>
      <c r="H114" s="115"/>
      <c r="I114" s="115">
        <v>2529.9469011971159</v>
      </c>
      <c r="J114" s="115"/>
      <c r="K114" s="115"/>
      <c r="L114" s="115">
        <v>200.01341773610909</v>
      </c>
      <c r="M114" s="115"/>
      <c r="N114" s="115"/>
      <c r="O114" s="115">
        <v>41.993335695333791</v>
      </c>
      <c r="P114" s="115"/>
      <c r="Q114" s="115"/>
      <c r="R114" s="115">
        <v>626.67966138185443</v>
      </c>
      <c r="S114" s="115"/>
      <c r="T114" s="80"/>
      <c r="U114" s="115">
        <v>6057.6789162846371</v>
      </c>
      <c r="V114" s="115"/>
      <c r="W114" s="115"/>
      <c r="X114" s="115">
        <v>1</v>
      </c>
      <c r="Y114" s="115"/>
      <c r="Z114" s="115"/>
      <c r="AA114" s="115"/>
      <c r="AB114"/>
      <c r="AC114" s="117"/>
      <c r="AD114"/>
    </row>
    <row r="115" spans="1:30" x14ac:dyDescent="0.2">
      <c r="A115" s="75">
        <v>2023</v>
      </c>
      <c r="B115" s="76" t="s">
        <v>58</v>
      </c>
      <c r="C115" s="116">
        <f t="shared" si="1"/>
        <v>30604.498390833527</v>
      </c>
      <c r="D115" s="115">
        <v>45201847.869999997</v>
      </c>
      <c r="E115" s="115"/>
      <c r="F115" s="115"/>
      <c r="G115" s="115">
        <v>27873.618791970293</v>
      </c>
      <c r="H115" s="115"/>
      <c r="I115" s="115">
        <v>2529.838843496957</v>
      </c>
      <c r="J115" s="115"/>
      <c r="K115" s="115"/>
      <c r="L115" s="115">
        <v>200.0407553662755</v>
      </c>
      <c r="M115" s="115"/>
      <c r="N115" s="115"/>
      <c r="O115" s="115">
        <v>41.979835923345426</v>
      </c>
      <c r="P115" s="115"/>
      <c r="Q115" s="115"/>
      <c r="R115" s="115">
        <v>626.0470839247248</v>
      </c>
      <c r="S115" s="115"/>
      <c r="T115" s="80"/>
      <c r="U115" s="115">
        <v>6063.0980675419642</v>
      </c>
      <c r="V115" s="115"/>
      <c r="W115" s="115"/>
      <c r="X115" s="115">
        <v>1</v>
      </c>
      <c r="Y115" s="115"/>
      <c r="Z115" s="115"/>
      <c r="AA115" s="115"/>
      <c r="AB115"/>
      <c r="AC115" s="117"/>
      <c r="AD115"/>
    </row>
    <row r="116" spans="1:30" x14ac:dyDescent="0.2">
      <c r="A116" s="75">
        <v>2023</v>
      </c>
      <c r="B116" s="76" t="s">
        <v>59</v>
      </c>
      <c r="C116" s="116">
        <f t="shared" si="1"/>
        <v>30627.597344749222</v>
      </c>
      <c r="D116" s="115">
        <v>39637735.119999997</v>
      </c>
      <c r="E116" s="115"/>
      <c r="F116" s="115"/>
      <c r="G116" s="115">
        <v>27896.7984576042</v>
      </c>
      <c r="H116" s="115"/>
      <c r="I116" s="115">
        <v>2529.7307904120994</v>
      </c>
      <c r="J116" s="115"/>
      <c r="K116" s="115"/>
      <c r="L116" s="115">
        <v>200.06809673292136</v>
      </c>
      <c r="M116" s="115"/>
      <c r="N116" s="115"/>
      <c r="O116" s="115">
        <v>41.966340491184816</v>
      </c>
      <c r="P116" s="115"/>
      <c r="Q116" s="115"/>
      <c r="R116" s="115">
        <v>625.4151449983533</v>
      </c>
      <c r="S116" s="115"/>
      <c r="T116" s="80"/>
      <c r="U116" s="115">
        <v>6068.5220667287958</v>
      </c>
      <c r="V116" s="115"/>
      <c r="W116" s="115"/>
      <c r="X116" s="115">
        <v>1</v>
      </c>
      <c r="Y116" s="115"/>
      <c r="Z116" s="115"/>
      <c r="AA116" s="115"/>
      <c r="AB116"/>
      <c r="AC116" s="117"/>
      <c r="AD116"/>
    </row>
    <row r="117" spans="1:30" x14ac:dyDescent="0.2">
      <c r="A117" s="75">
        <v>2023</v>
      </c>
      <c r="B117" s="76" t="s">
        <v>60</v>
      </c>
      <c r="C117" s="116">
        <f t="shared" si="1"/>
        <v>30650.715583197216</v>
      </c>
      <c r="D117" s="115">
        <v>38621809.75</v>
      </c>
      <c r="E117" s="115"/>
      <c r="F117" s="115"/>
      <c r="G117" s="115">
        <v>27919.997399418313</v>
      </c>
      <c r="H117" s="115"/>
      <c r="I117" s="115">
        <v>2529.6227419423453</v>
      </c>
      <c r="J117" s="115"/>
      <c r="K117" s="115"/>
      <c r="L117" s="115">
        <v>200.09544183655737</v>
      </c>
      <c r="M117" s="115"/>
      <c r="N117" s="115"/>
      <c r="O117" s="115">
        <v>41.952849397456816</v>
      </c>
      <c r="P117" s="115"/>
      <c r="Q117" s="115"/>
      <c r="R117" s="115">
        <v>624.78384395819978</v>
      </c>
      <c r="S117" s="115"/>
      <c r="T117" s="80"/>
      <c r="U117" s="115">
        <v>6073.9509181820522</v>
      </c>
      <c r="V117" s="115"/>
      <c r="W117" s="115"/>
      <c r="X117" s="115">
        <v>1</v>
      </c>
      <c r="Y117" s="115"/>
      <c r="Z117" s="115"/>
      <c r="AA117" s="115"/>
      <c r="AB117"/>
      <c r="AC117" s="117"/>
      <c r="AD117"/>
    </row>
    <row r="118" spans="1:30" x14ac:dyDescent="0.2">
      <c r="A118" s="75">
        <v>2023</v>
      </c>
      <c r="B118" s="76" t="s">
        <v>61</v>
      </c>
      <c r="C118" s="116">
        <f t="shared" si="1"/>
        <v>30673.853122207878</v>
      </c>
      <c r="D118" s="115">
        <v>40520985.550000004</v>
      </c>
      <c r="E118" s="115"/>
      <c r="F118" s="115"/>
      <c r="G118" s="115">
        <v>27943.215633442684</v>
      </c>
      <c r="H118" s="115"/>
      <c r="I118" s="115">
        <v>2529.5146980874983</v>
      </c>
      <c r="J118" s="115"/>
      <c r="K118" s="115"/>
      <c r="L118" s="115">
        <v>200.12279067769427</v>
      </c>
      <c r="M118" s="115"/>
      <c r="N118" s="115"/>
      <c r="O118" s="115">
        <v>41.939362640766731</v>
      </c>
      <c r="P118" s="115"/>
      <c r="Q118" s="115"/>
      <c r="R118" s="115">
        <v>624.15318016037475</v>
      </c>
      <c r="S118" s="115"/>
      <c r="T118" s="80"/>
      <c r="U118" s="115">
        <v>6079.3846262425313</v>
      </c>
      <c r="V118" s="115"/>
      <c r="W118" s="115"/>
      <c r="X118" s="115">
        <v>1</v>
      </c>
      <c r="Y118" s="115"/>
      <c r="Z118" s="115"/>
      <c r="AA118" s="115"/>
      <c r="AB118"/>
      <c r="AC118" s="117"/>
      <c r="AD118"/>
    </row>
    <row r="119" spans="1:30" x14ac:dyDescent="0.2">
      <c r="A119" s="75">
        <v>2023</v>
      </c>
      <c r="B119" s="76" t="s">
        <v>62</v>
      </c>
      <c r="C119" s="116">
        <f t="shared" si="1"/>
        <v>30697.009977824891</v>
      </c>
      <c r="D119" s="115">
        <v>42198963.640000001</v>
      </c>
      <c r="E119" s="115"/>
      <c r="F119" s="115">
        <f>Averages!B25</f>
        <v>219776043.25999999</v>
      </c>
      <c r="G119" s="115">
        <v>27966.453175720686</v>
      </c>
      <c r="H119" s="115">
        <f>Averages!D25</f>
        <v>66829175.539999999</v>
      </c>
      <c r="I119" s="115">
        <v>2529.4066588473611</v>
      </c>
      <c r="J119" s="115">
        <f>Averages!F25</f>
        <v>181546335.81</v>
      </c>
      <c r="K119" s="115">
        <f>Averages!G25</f>
        <v>579214.24</v>
      </c>
      <c r="L119" s="115">
        <v>200.15014325684291</v>
      </c>
      <c r="M119" s="115">
        <f>Averages!I25</f>
        <v>1285502.0899999999</v>
      </c>
      <c r="N119" s="115"/>
      <c r="O119" s="115">
        <v>41.92588021972032</v>
      </c>
      <c r="P119" s="115">
        <f>Averages!K25</f>
        <v>492156.56</v>
      </c>
      <c r="Q119" s="115">
        <f>Averages!L25</f>
        <v>1599.82</v>
      </c>
      <c r="R119" s="115">
        <v>623.52315296163874</v>
      </c>
      <c r="S119" s="115">
        <f>Averages!N25</f>
        <v>1430413.7999999998</v>
      </c>
      <c r="T119" s="115">
        <f>Averages!O25</f>
        <v>4370.1400000000003</v>
      </c>
      <c r="U119" s="115">
        <v>6084.8231952549149</v>
      </c>
      <c r="V119" s="115">
        <f>Averages!Q25</f>
        <v>5519642.0099999998</v>
      </c>
      <c r="W119" s="115">
        <f>Averages!R25</f>
        <v>14942.19</v>
      </c>
      <c r="X119" s="115">
        <v>1</v>
      </c>
      <c r="Y119" s="115"/>
      <c r="Z119" s="115"/>
      <c r="AA119" s="115"/>
      <c r="AB119"/>
      <c r="AC119" s="117"/>
      <c r="AD119"/>
    </row>
    <row r="120" spans="1:30" x14ac:dyDescent="0.2">
      <c r="A120" s="75">
        <v>2024</v>
      </c>
      <c r="B120" s="76" t="s">
        <v>52</v>
      </c>
      <c r="C120" s="116">
        <f t="shared" si="1"/>
        <v>30715.120271248321</v>
      </c>
      <c r="D120" s="114">
        <v>47060012.019999996</v>
      </c>
      <c r="E120" s="114"/>
      <c r="F120" s="114"/>
      <c r="G120" s="114" cm="1">
        <f t="array" ref="G120:G131">'Monthly Customer Determination'!K4:K15</f>
        <v>27983.422569301008</v>
      </c>
      <c r="H120" s="114"/>
      <c r="I120" s="114" cm="1">
        <f t="array" ref="I120:I131">'Monthly Customer Determination'!K23:K34</f>
        <v>2530.1126038165498</v>
      </c>
      <c r="J120" s="114"/>
      <c r="K120" s="114"/>
      <c r="L120" s="114" cm="1">
        <f t="array" ref="L120:L131">'Monthly Customer Determination'!K42:K53</f>
        <v>200.58509813076148</v>
      </c>
      <c r="M120" s="114"/>
      <c r="N120" s="114"/>
      <c r="O120" s="114" cm="1">
        <f t="array" ref="O120:O131">'Monthly Customer Determination'!K61:K72</f>
        <v>41.937257733835089</v>
      </c>
      <c r="P120" s="114"/>
      <c r="Q120" s="114"/>
      <c r="R120" s="114" cm="1">
        <f t="array" ref="R120:R131">'Monthly Customer Determination'!K81:K92</f>
        <v>623.59643686629829</v>
      </c>
      <c r="S120" s="114"/>
      <c r="T120" s="78"/>
      <c r="U120" s="114" cm="1">
        <f t="array" ref="U120:U131">'Monthly Customer Determination'!K101:K112</f>
        <v>6094.1820297053255</v>
      </c>
      <c r="V120" s="114"/>
      <c r="W120" s="114"/>
      <c r="X120" s="114">
        <v>1</v>
      </c>
      <c r="Y120" s="114"/>
      <c r="Z120" s="114"/>
      <c r="AA120" s="114"/>
      <c r="AB120"/>
      <c r="AC120" s="117"/>
      <c r="AD120"/>
    </row>
    <row r="121" spans="1:30" x14ac:dyDescent="0.2">
      <c r="A121" s="75">
        <v>2024</v>
      </c>
      <c r="B121" s="76" t="s">
        <v>53</v>
      </c>
      <c r="C121" s="116">
        <f t="shared" si="1"/>
        <v>30733.242003550138</v>
      </c>
      <c r="D121" s="115">
        <v>41879542.609999999</v>
      </c>
      <c r="E121" s="115"/>
      <c r="F121" s="115"/>
      <c r="G121" s="115">
        <v>28000.402259514827</v>
      </c>
      <c r="H121" s="115"/>
      <c r="I121" s="115">
        <v>2530.8187458115103</v>
      </c>
      <c r="J121" s="115"/>
      <c r="K121" s="115"/>
      <c r="L121" s="115">
        <v>201.0209982238004</v>
      </c>
      <c r="M121" s="115"/>
      <c r="N121" s="115"/>
      <c r="O121" s="115">
        <v>41.948638335489747</v>
      </c>
      <c r="P121" s="115"/>
      <c r="Q121" s="115"/>
      <c r="R121" s="115">
        <v>623.6697293841595</v>
      </c>
      <c r="S121" s="115"/>
      <c r="T121" s="80"/>
      <c r="U121" s="115">
        <v>6103.5552586220101</v>
      </c>
      <c r="V121" s="115"/>
      <c r="W121" s="115"/>
      <c r="X121" s="115">
        <v>1</v>
      </c>
      <c r="Y121" s="115"/>
      <c r="Z121" s="115"/>
      <c r="AA121" s="115"/>
      <c r="AB121"/>
      <c r="AC121" s="117"/>
      <c r="AD121"/>
    </row>
    <row r="122" spans="1:30" x14ac:dyDescent="0.2">
      <c r="A122" s="75">
        <v>2024</v>
      </c>
      <c r="B122" s="76" t="s">
        <v>54</v>
      </c>
      <c r="C122" s="116">
        <f t="shared" si="1"/>
        <v>30751.375183087184</v>
      </c>
      <c r="D122" s="115">
        <v>41149574.190000005</v>
      </c>
      <c r="E122" s="115"/>
      <c r="F122" s="115"/>
      <c r="G122" s="115">
        <v>28017.392252609898</v>
      </c>
      <c r="H122" s="115"/>
      <c r="I122" s="115">
        <v>2531.525084887232</v>
      </c>
      <c r="J122" s="115"/>
      <c r="K122" s="115"/>
      <c r="L122" s="115">
        <v>201.45784559005594</v>
      </c>
      <c r="M122" s="115"/>
      <c r="N122" s="115"/>
      <c r="O122" s="115">
        <v>41.960022025522164</v>
      </c>
      <c r="P122" s="115"/>
      <c r="Q122" s="115"/>
      <c r="R122" s="115">
        <v>623.74303051623474</v>
      </c>
      <c r="S122" s="115"/>
      <c r="T122" s="80"/>
      <c r="U122" s="115">
        <v>6112.9429041445483</v>
      </c>
      <c r="V122" s="115"/>
      <c r="W122" s="115"/>
      <c r="X122" s="115">
        <v>1</v>
      </c>
      <c r="Y122" s="115"/>
      <c r="Z122" s="115"/>
      <c r="AA122" s="115"/>
      <c r="AB122"/>
      <c r="AC122" s="117"/>
      <c r="AD122"/>
    </row>
    <row r="123" spans="1:30" x14ac:dyDescent="0.2">
      <c r="A123" s="75">
        <v>2024</v>
      </c>
      <c r="B123" s="76" t="s">
        <v>55</v>
      </c>
      <c r="C123" s="116">
        <f t="shared" si="1"/>
        <v>30769.519818224573</v>
      </c>
      <c r="D123" s="115">
        <v>37508717.170000002</v>
      </c>
      <c r="E123" s="115"/>
      <c r="F123" s="115"/>
      <c r="G123" s="115">
        <v>28034.392554837767</v>
      </c>
      <c r="H123" s="115"/>
      <c r="I123" s="115">
        <v>2532.2316210987187</v>
      </c>
      <c r="J123" s="115"/>
      <c r="K123" s="115"/>
      <c r="L123" s="115">
        <v>201.8956422880882</v>
      </c>
      <c r="M123" s="115"/>
      <c r="N123" s="115"/>
      <c r="O123" s="115">
        <v>41.971408804770434</v>
      </c>
      <c r="P123" s="115"/>
      <c r="Q123" s="115"/>
      <c r="R123" s="115">
        <v>623.8163402635364</v>
      </c>
      <c r="S123" s="115"/>
      <c r="T123" s="80"/>
      <c r="U123" s="115">
        <v>6122.3449884465726</v>
      </c>
      <c r="V123" s="115"/>
      <c r="W123" s="115"/>
      <c r="X123" s="115">
        <v>1</v>
      </c>
      <c r="Y123" s="115"/>
      <c r="Z123" s="115"/>
      <c r="AA123" s="115"/>
      <c r="AB123"/>
      <c r="AC123" s="117"/>
      <c r="AD123"/>
    </row>
    <row r="124" spans="1:30" x14ac:dyDescent="0.2">
      <c r="A124" s="75">
        <v>2024</v>
      </c>
      <c r="B124" s="76" t="s">
        <v>31</v>
      </c>
      <c r="C124" s="116">
        <f t="shared" si="1"/>
        <v>30787.675917335699</v>
      </c>
      <c r="D124" s="115">
        <v>37754162.369999997</v>
      </c>
      <c r="E124" s="115"/>
      <c r="F124" s="115"/>
      <c r="G124" s="115">
        <v>28051.403172453778</v>
      </c>
      <c r="H124" s="115"/>
      <c r="I124" s="115">
        <v>2532.93835450099</v>
      </c>
      <c r="J124" s="115"/>
      <c r="K124" s="115"/>
      <c r="L124" s="115">
        <v>202.33439038093087</v>
      </c>
      <c r="M124" s="115"/>
      <c r="N124" s="115"/>
      <c r="O124" s="115">
        <v>41.982798674072889</v>
      </c>
      <c r="P124" s="115"/>
      <c r="Q124" s="115"/>
      <c r="R124" s="115">
        <v>623.8896586270771</v>
      </c>
      <c r="S124" s="115"/>
      <c r="T124" s="80"/>
      <c r="U124" s="115">
        <v>6131.7615337358184</v>
      </c>
      <c r="V124" s="115"/>
      <c r="W124" s="115"/>
      <c r="X124" s="115">
        <v>1</v>
      </c>
      <c r="Y124" s="115"/>
      <c r="Z124" s="115"/>
      <c r="AA124" s="115"/>
      <c r="AB124"/>
      <c r="AC124" s="117"/>
      <c r="AD124"/>
    </row>
    <row r="125" spans="1:30" x14ac:dyDescent="0.2">
      <c r="A125" s="75">
        <v>2024</v>
      </c>
      <c r="B125" s="76" t="s">
        <v>56</v>
      </c>
      <c r="C125" s="116">
        <f t="shared" si="1"/>
        <v>30805.843488802253</v>
      </c>
      <c r="D125" s="115">
        <v>43680638.38000001</v>
      </c>
      <c r="E125" s="115"/>
      <c r="F125" s="115"/>
      <c r="G125" s="115">
        <v>28068.424111717071</v>
      </c>
      <c r="H125" s="115"/>
      <c r="I125" s="115">
        <v>2533.6452851490812</v>
      </c>
      <c r="J125" s="115"/>
      <c r="K125" s="115"/>
      <c r="L125" s="115">
        <v>202.77409193610086</v>
      </c>
      <c r="M125" s="115"/>
      <c r="N125" s="115"/>
      <c r="O125" s="115">
        <v>41.994191634268084</v>
      </c>
      <c r="P125" s="115"/>
      <c r="Q125" s="115"/>
      <c r="R125" s="115">
        <v>623.96298560786954</v>
      </c>
      <c r="S125" s="115"/>
      <c r="T125" s="80"/>
      <c r="U125" s="115">
        <v>6141.1925622541785</v>
      </c>
      <c r="V125" s="115"/>
      <c r="W125" s="115"/>
      <c r="X125" s="115">
        <v>1</v>
      </c>
      <c r="Y125" s="115"/>
      <c r="Z125" s="115"/>
      <c r="AA125" s="115"/>
      <c r="AB125"/>
      <c r="AC125" s="117"/>
      <c r="AD125"/>
    </row>
    <row r="126" spans="1:30" x14ac:dyDescent="0.2">
      <c r="A126" s="75">
        <v>2024</v>
      </c>
      <c r="B126" s="76" t="s">
        <v>57</v>
      </c>
      <c r="C126" s="116">
        <f t="shared" si="1"/>
        <v>30824.022541014227</v>
      </c>
      <c r="D126" s="115">
        <v>52412313.329999998</v>
      </c>
      <c r="E126" s="115"/>
      <c r="F126" s="115"/>
      <c r="G126" s="115">
        <v>28085.45537889058</v>
      </c>
      <c r="H126" s="115"/>
      <c r="I126" s="115">
        <v>2534.3524130980422</v>
      </c>
      <c r="J126" s="115"/>
      <c r="K126" s="115"/>
      <c r="L126" s="115">
        <v>203.21474902560811</v>
      </c>
      <c r="M126" s="115"/>
      <c r="N126" s="115"/>
      <c r="O126" s="115">
        <v>42.005587686194801</v>
      </c>
      <c r="P126" s="115"/>
      <c r="Q126" s="115"/>
      <c r="R126" s="115">
        <v>624.03632120692657</v>
      </c>
      <c r="S126" s="115"/>
      <c r="T126" s="80"/>
      <c r="U126" s="115">
        <v>6150.6380962777548</v>
      </c>
      <c r="V126" s="115"/>
      <c r="W126" s="115"/>
      <c r="X126" s="115">
        <v>1</v>
      </c>
      <c r="Y126" s="115"/>
      <c r="Z126" s="115"/>
      <c r="AA126" s="115"/>
      <c r="AB126"/>
      <c r="AC126" s="117"/>
      <c r="AD126"/>
    </row>
    <row r="127" spans="1:30" x14ac:dyDescent="0.2">
      <c r="A127" s="75">
        <v>2024</v>
      </c>
      <c r="B127" s="76" t="s">
        <v>58</v>
      </c>
      <c r="C127" s="116">
        <f t="shared" si="1"/>
        <v>30842.213082369944</v>
      </c>
      <c r="D127" s="115">
        <v>48798061.969999999</v>
      </c>
      <c r="E127" s="115"/>
      <c r="F127" s="115"/>
      <c r="G127" s="115">
        <v>28102.496980241041</v>
      </c>
      <c r="H127" s="115"/>
      <c r="I127" s="115">
        <v>2535.0597384029393</v>
      </c>
      <c r="J127" s="115"/>
      <c r="K127" s="115"/>
      <c r="L127" s="115">
        <v>203.65636372596535</v>
      </c>
      <c r="M127" s="115"/>
      <c r="N127" s="115"/>
      <c r="O127" s="115">
        <v>42.016986830692048</v>
      </c>
      <c r="P127" s="115"/>
      <c r="Q127" s="115"/>
      <c r="R127" s="115">
        <v>624.10966542526103</v>
      </c>
      <c r="S127" s="115"/>
      <c r="T127" s="80"/>
      <c r="U127" s="115">
        <v>6160.0981581169117</v>
      </c>
      <c r="V127" s="115"/>
      <c r="W127" s="115"/>
      <c r="X127" s="115">
        <v>1</v>
      </c>
      <c r="Y127" s="115"/>
      <c r="Z127" s="115"/>
      <c r="AA127" s="115"/>
      <c r="AB127"/>
      <c r="AC127" s="117"/>
      <c r="AD127"/>
    </row>
    <row r="128" spans="1:30" x14ac:dyDescent="0.2">
      <c r="A128" s="75">
        <v>2024</v>
      </c>
      <c r="B128" s="76" t="s">
        <v>59</v>
      </c>
      <c r="C128" s="116">
        <f t="shared" si="1"/>
        <v>30860.415121276044</v>
      </c>
      <c r="D128" s="115">
        <v>41452209.120000005</v>
      </c>
      <c r="E128" s="115"/>
      <c r="F128" s="115"/>
      <c r="G128" s="115">
        <v>28119.548922038994</v>
      </c>
      <c r="H128" s="115"/>
      <c r="I128" s="115">
        <v>2535.7672611188532</v>
      </c>
      <c r="J128" s="115"/>
      <c r="K128" s="115"/>
      <c r="L128" s="115">
        <v>204.09893811819785</v>
      </c>
      <c r="M128" s="115"/>
      <c r="N128" s="115"/>
      <c r="O128" s="115">
        <v>42.028389068599061</v>
      </c>
      <c r="P128" s="115"/>
      <c r="Q128" s="115"/>
      <c r="R128" s="115">
        <v>624.18301826388597</v>
      </c>
      <c r="S128" s="115"/>
      <c r="T128" s="80"/>
      <c r="U128" s="115">
        <v>6169.5727701163287</v>
      </c>
      <c r="V128" s="115"/>
      <c r="W128" s="115"/>
      <c r="X128" s="115">
        <v>1</v>
      </c>
      <c r="Y128" s="115"/>
      <c r="Z128" s="115"/>
      <c r="AA128" s="115"/>
      <c r="AB128"/>
      <c r="AC128" s="117"/>
      <c r="AD128"/>
    </row>
    <row r="129" spans="1:31" x14ac:dyDescent="0.2">
      <c r="A129" s="75">
        <v>2024</v>
      </c>
      <c r="B129" s="76" t="s">
        <v>60</v>
      </c>
      <c r="C129" s="116">
        <f t="shared" si="1"/>
        <v>30878.62866614751</v>
      </c>
      <c r="D129" s="115">
        <v>37912739.270000003</v>
      </c>
      <c r="E129" s="115"/>
      <c r="F129" s="115"/>
      <c r="G129" s="115">
        <v>28136.611210558778</v>
      </c>
      <c r="H129" s="115"/>
      <c r="I129" s="115">
        <v>2536.4749813008802</v>
      </c>
      <c r="J129" s="115"/>
      <c r="K129" s="115"/>
      <c r="L129" s="115">
        <v>204.54247428785322</v>
      </c>
      <c r="M129" s="115"/>
      <c r="N129" s="115"/>
      <c r="O129" s="115">
        <v>42.039794400755312</v>
      </c>
      <c r="P129" s="115"/>
      <c r="Q129" s="115"/>
      <c r="R129" s="115">
        <v>624.25637972381458</v>
      </c>
      <c r="S129" s="115"/>
      <c r="T129" s="80"/>
      <c r="U129" s="115">
        <v>6179.0619546550515</v>
      </c>
      <c r="V129" s="115"/>
      <c r="W129" s="115"/>
      <c r="X129" s="115">
        <v>1</v>
      </c>
      <c r="Y129" s="115"/>
      <c r="Z129" s="115"/>
      <c r="AA129" s="115"/>
      <c r="AB129"/>
      <c r="AC129" s="117"/>
      <c r="AD129"/>
    </row>
    <row r="130" spans="1:31" x14ac:dyDescent="0.2">
      <c r="A130" s="75">
        <v>2024</v>
      </c>
      <c r="B130" s="76" t="s">
        <v>61</v>
      </c>
      <c r="C130" s="116">
        <f t="shared" si="1"/>
        <v>30896.853725407691</v>
      </c>
      <c r="D130" s="115">
        <v>38806066.369999997</v>
      </c>
      <c r="E130" s="115"/>
      <c r="F130" s="115"/>
      <c r="G130" s="115">
        <v>28153.683852078546</v>
      </c>
      <c r="H130" s="115"/>
      <c r="I130" s="115">
        <v>2537.1828990041327</v>
      </c>
      <c r="J130" s="115"/>
      <c r="K130" s="115"/>
      <c r="L130" s="115">
        <v>204.98697432501135</v>
      </c>
      <c r="M130" s="115"/>
      <c r="N130" s="115"/>
      <c r="O130" s="115">
        <v>42.051202828000491</v>
      </c>
      <c r="P130" s="115"/>
      <c r="Q130" s="115"/>
      <c r="R130" s="115">
        <v>624.32974980606002</v>
      </c>
      <c r="S130" s="115"/>
      <c r="T130" s="80"/>
      <c r="U130" s="115">
        <v>6188.5657341465476</v>
      </c>
      <c r="V130" s="115"/>
      <c r="W130" s="115"/>
      <c r="X130" s="115">
        <v>1</v>
      </c>
      <c r="Y130" s="115"/>
      <c r="Z130" s="115"/>
      <c r="AA130" s="115"/>
      <c r="AB130"/>
      <c r="AC130" s="117"/>
      <c r="AD130"/>
    </row>
    <row r="131" spans="1:31" x14ac:dyDescent="0.2">
      <c r="A131" s="75">
        <v>2024</v>
      </c>
      <c r="B131" s="76" t="s">
        <v>62</v>
      </c>
      <c r="C131" s="116">
        <f t="shared" si="1"/>
        <v>30915.090307488292</v>
      </c>
      <c r="D131" s="115">
        <v>45581658.079999998</v>
      </c>
      <c r="E131" s="115"/>
      <c r="F131" s="115">
        <f>Averages!B26</f>
        <v>228623867.22</v>
      </c>
      <c r="G131" s="115">
        <v>28170.766852880261</v>
      </c>
      <c r="H131" s="115">
        <f>Averages!D26</f>
        <v>67302263.310000002</v>
      </c>
      <c r="I131" s="115">
        <v>2537.8910142837371</v>
      </c>
      <c r="J131" s="115">
        <f>Averages!F26</f>
        <v>184252866.08999997</v>
      </c>
      <c r="K131" s="115">
        <f>Averages!G26</f>
        <v>577912.13</v>
      </c>
      <c r="L131" s="115">
        <v>205.43244032429405</v>
      </c>
      <c r="M131" s="115">
        <f>Averages!I26</f>
        <v>1292091</v>
      </c>
      <c r="N131" s="115"/>
      <c r="O131" s="115">
        <v>42.062614351174517</v>
      </c>
      <c r="P131" s="115">
        <f>Averages!K26</f>
        <v>450678.16</v>
      </c>
      <c r="Q131" s="115">
        <f>Averages!L26</f>
        <v>1477.68</v>
      </c>
      <c r="R131" s="115">
        <v>624.40312851163583</v>
      </c>
      <c r="S131" s="115">
        <f>Averages!N26</f>
        <v>1456996.37</v>
      </c>
      <c r="T131" s="115">
        <f>Averages!O26</f>
        <v>4442.1400000000003</v>
      </c>
      <c r="U131" s="115">
        <v>6198.0841310387568</v>
      </c>
      <c r="V131" s="115">
        <f>Averages!Q26</f>
        <v>5640447.3899999997</v>
      </c>
      <c r="W131" s="115">
        <f>Averages!R26</f>
        <v>15142.87</v>
      </c>
      <c r="X131" s="115">
        <v>1</v>
      </c>
      <c r="Y131" s="115"/>
      <c r="Z131" s="115"/>
      <c r="AA131" s="115"/>
      <c r="AB131"/>
      <c r="AC131" s="117"/>
      <c r="AD131"/>
    </row>
    <row r="132" spans="1:31" x14ac:dyDescent="0.2">
      <c r="A132" s="75">
        <v>2025</v>
      </c>
      <c r="B132" s="76" t="s">
        <v>52</v>
      </c>
      <c r="C132" s="116">
        <f t="shared" si="1"/>
        <v>30932.420798959836</v>
      </c>
      <c r="D132" s="114">
        <v>49861734.450000003</v>
      </c>
      <c r="E132" s="114"/>
      <c r="F132" s="114"/>
      <c r="G132" s="114" cm="1">
        <f t="array" ref="G132:G143">'Monthly Customer Determination'!L4:L15</f>
        <v>28187.382122172643</v>
      </c>
      <c r="H132" s="114"/>
      <c r="I132" s="114" cm="1">
        <f t="array" ref="I132:I143">'Monthly Customer Determination'!L23:L34</f>
        <v>2538.9829798850265</v>
      </c>
      <c r="J132" s="114"/>
      <c r="K132" s="114"/>
      <c r="L132" s="114" cm="1">
        <f t="array" ref="L132:L143">'Monthly Customer Determination'!L42:L53</f>
        <v>205.05569690216859</v>
      </c>
      <c r="M132" s="114"/>
      <c r="N132" s="114"/>
      <c r="O132" s="114" cm="1">
        <f t="array" ref="O132:O143">'Monthly Customer Determination'!L61:L72</f>
        <v>42.204961194681083</v>
      </c>
      <c r="P132" s="114"/>
      <c r="Q132" s="114"/>
      <c r="R132" s="114" cm="1">
        <f t="array" ref="R132:R143">'Monthly Customer Determination'!L81:L92</f>
        <v>623.41229438917571</v>
      </c>
      <c r="S132" s="114"/>
      <c r="T132" s="78"/>
      <c r="U132" s="114" cm="1">
        <f t="array" ref="U132:U143">'Monthly Customer Determination'!L101:L112</f>
        <v>6191.4296761886499</v>
      </c>
      <c r="V132" s="114"/>
      <c r="W132" s="114"/>
      <c r="X132" s="114">
        <v>1</v>
      </c>
      <c r="Y132" s="114"/>
      <c r="Z132" s="114"/>
      <c r="AA132" s="114"/>
      <c r="AB132"/>
      <c r="AC132" s="117"/>
      <c r="AD132"/>
    </row>
    <row r="133" spans="1:31" x14ac:dyDescent="0.2">
      <c r="A133" s="75">
        <v>2025</v>
      </c>
      <c r="B133" s="76" t="s">
        <v>53</v>
      </c>
      <c r="C133" s="116">
        <f t="shared" si="1"/>
        <v>30949.762250952175</v>
      </c>
      <c r="D133" s="115">
        <v>44457972.25</v>
      </c>
      <c r="E133" s="115"/>
      <c r="F133" s="115"/>
      <c r="G133" s="115">
        <v>28204.007191239914</v>
      </c>
      <c r="H133" s="115"/>
      <c r="I133" s="115">
        <v>2540.0754153208627</v>
      </c>
      <c r="J133" s="115"/>
      <c r="K133" s="115"/>
      <c r="L133" s="115">
        <v>204.67964439140013</v>
      </c>
      <c r="M133" s="115"/>
      <c r="N133" s="115"/>
      <c r="O133" s="115">
        <v>42.347789763448162</v>
      </c>
      <c r="P133" s="115"/>
      <c r="Q133" s="115"/>
      <c r="R133" s="115">
        <v>622.42303257187132</v>
      </c>
      <c r="S133" s="115"/>
      <c r="T133" s="80"/>
      <c r="U133" s="115">
        <v>6184.7823657671133</v>
      </c>
      <c r="V133" s="115"/>
      <c r="W133" s="115"/>
      <c r="X133" s="115">
        <v>1</v>
      </c>
      <c r="Y133" s="115"/>
      <c r="Z133" s="115"/>
      <c r="AA133" s="115"/>
      <c r="AB133"/>
      <c r="AC133" s="117"/>
      <c r="AD133"/>
    </row>
    <row r="134" spans="1:31" x14ac:dyDescent="0.2">
      <c r="A134" s="75">
        <v>2025</v>
      </c>
      <c r="B134" s="76" t="s">
        <v>54</v>
      </c>
      <c r="C134" s="116">
        <f t="shared" si="1"/>
        <v>30967.114668180362</v>
      </c>
      <c r="D134" s="115">
        <v>43417367.900000006</v>
      </c>
      <c r="E134" s="115"/>
      <c r="F134" s="115"/>
      <c r="G134" s="115">
        <v>28220.642065862037</v>
      </c>
      <c r="H134" s="115"/>
      <c r="I134" s="115">
        <v>2541.1683207933988</v>
      </c>
      <c r="J134" s="115"/>
      <c r="K134" s="115"/>
      <c r="L134" s="115">
        <v>204.3042815249234</v>
      </c>
      <c r="M134" s="115"/>
      <c r="N134" s="115"/>
      <c r="O134" s="115">
        <v>42.491101687713709</v>
      </c>
      <c r="P134" s="115"/>
      <c r="Q134" s="115"/>
      <c r="R134" s="115">
        <v>621.43534056471026</v>
      </c>
      <c r="S134" s="115"/>
      <c r="T134" s="80"/>
      <c r="U134" s="115">
        <v>6178.142192103669</v>
      </c>
      <c r="V134" s="115"/>
      <c r="W134" s="115"/>
      <c r="X134" s="115">
        <v>1</v>
      </c>
      <c r="Y134" s="115"/>
      <c r="Z134" s="115"/>
      <c r="AA134" s="115"/>
      <c r="AB134"/>
      <c r="AC134" s="117"/>
      <c r="AD134"/>
    </row>
    <row r="135" spans="1:31" x14ac:dyDescent="0.2">
      <c r="A135" s="75">
        <v>2025</v>
      </c>
      <c r="B135" s="76" t="s">
        <v>55</v>
      </c>
      <c r="C135" s="116">
        <f t="shared" si="1"/>
        <v>30984.478055365253</v>
      </c>
      <c r="D135" s="115">
        <v>38426118.68</v>
      </c>
      <c r="E135" s="115"/>
      <c r="F135" s="115"/>
      <c r="G135" s="115">
        <v>28237.286751822379</v>
      </c>
      <c r="H135" s="115"/>
      <c r="I135" s="115">
        <v>2542.2616965048755</v>
      </c>
      <c r="J135" s="115"/>
      <c r="K135" s="115"/>
      <c r="L135" s="115">
        <v>203.92960703799682</v>
      </c>
      <c r="M135" s="115"/>
      <c r="N135" s="115"/>
      <c r="O135" s="115">
        <v>42.634898603232671</v>
      </c>
      <c r="P135" s="115"/>
      <c r="Q135" s="115"/>
      <c r="R135" s="115">
        <v>620.44921587663919</v>
      </c>
      <c r="S135" s="115"/>
      <c r="T135" s="80"/>
      <c r="U135" s="115">
        <v>6171.5091475360723</v>
      </c>
      <c r="V135" s="115"/>
      <c r="W135" s="115"/>
      <c r="X135" s="115">
        <v>1</v>
      </c>
      <c r="Y135" s="115"/>
      <c r="Z135" s="115"/>
      <c r="AA135" s="115"/>
      <c r="AB135"/>
      <c r="AC135" s="117"/>
      <c r="AD135"/>
    </row>
    <row r="136" spans="1:31" x14ac:dyDescent="0.2">
      <c r="A136" s="75">
        <v>2025</v>
      </c>
      <c r="B136" s="76" t="s">
        <v>31</v>
      </c>
      <c r="C136" s="116">
        <f t="shared" si="1"/>
        <v>31001.852417233538</v>
      </c>
      <c r="D136" s="115">
        <v>37464105.689999998</v>
      </c>
      <c r="E136" s="115"/>
      <c r="F136" s="115"/>
      <c r="G136" s="115">
        <v>28253.941254907721</v>
      </c>
      <c r="H136" s="115"/>
      <c r="I136" s="115">
        <v>2543.3555426576199</v>
      </c>
      <c r="J136" s="115"/>
      <c r="K136" s="115"/>
      <c r="L136" s="115">
        <v>203.5556196681982</v>
      </c>
      <c r="M136" s="115"/>
      <c r="N136" s="115"/>
      <c r="O136" s="115">
        <v>42.779182151295657</v>
      </c>
      <c r="P136" s="115"/>
      <c r="Q136" s="115"/>
      <c r="R136" s="115">
        <v>619.46465602055775</v>
      </c>
      <c r="S136" s="115"/>
      <c r="T136" s="80"/>
      <c r="U136" s="115">
        <v>6164.883224410305</v>
      </c>
      <c r="V136" s="115"/>
      <c r="W136" s="115"/>
      <c r="X136" s="115">
        <v>1</v>
      </c>
      <c r="Y136" s="115"/>
      <c r="Z136" s="115"/>
      <c r="AA136" s="115"/>
      <c r="AB136"/>
      <c r="AC136" s="117"/>
      <c r="AD136"/>
    </row>
    <row r="137" spans="1:31" x14ac:dyDescent="0.2">
      <c r="A137" s="75">
        <v>2025</v>
      </c>
      <c r="B137" s="76" t="s">
        <v>56</v>
      </c>
      <c r="C137" s="116">
        <f t="shared" si="1"/>
        <v>31019.23775851772</v>
      </c>
      <c r="D137" s="115">
        <v>43100272.859999999</v>
      </c>
      <c r="E137" s="115"/>
      <c r="F137" s="115"/>
      <c r="G137" s="115">
        <v>28270.605580908254</v>
      </c>
      <c r="H137" s="115"/>
      <c r="I137" s="115">
        <v>2544.4498594540464</v>
      </c>
      <c r="J137" s="115"/>
      <c r="K137" s="115"/>
      <c r="L137" s="115">
        <v>203.18231815542055</v>
      </c>
      <c r="M137" s="115"/>
      <c r="N137" s="115"/>
      <c r="O137" s="115">
        <v>42.923953978747683</v>
      </c>
      <c r="P137" s="115"/>
      <c r="Q137" s="115"/>
      <c r="R137" s="115">
        <v>618.48165851331237</v>
      </c>
      <c r="S137" s="115"/>
      <c r="T137" s="80"/>
      <c r="U137" s="115">
        <v>6158.2644150805663</v>
      </c>
      <c r="V137" s="115"/>
      <c r="W137" s="115"/>
      <c r="X137" s="115">
        <v>1</v>
      </c>
      <c r="Y137" s="115"/>
      <c r="Z137" s="115"/>
      <c r="AA137" s="115"/>
      <c r="AB137"/>
      <c r="AC137" s="117"/>
      <c r="AD137"/>
    </row>
    <row r="138" spans="1:31" x14ac:dyDescent="0.2">
      <c r="A138" s="75">
        <v>2025</v>
      </c>
      <c r="B138" s="76" t="s">
        <v>57</v>
      </c>
      <c r="C138" s="116">
        <f t="shared" si="1"/>
        <v>31036.634083956113</v>
      </c>
      <c r="D138" s="115">
        <v>54807097.660000004</v>
      </c>
      <c r="E138" s="115"/>
      <c r="F138" s="115"/>
      <c r="G138" s="115">
        <v>28287.279735617587</v>
      </c>
      <c r="H138" s="115"/>
      <c r="I138" s="115">
        <v>2545.5446470966567</v>
      </c>
      <c r="J138" s="115"/>
      <c r="K138" s="115"/>
      <c r="L138" s="115">
        <v>202.80970124186777</v>
      </c>
      <c r="M138" s="115"/>
      <c r="N138" s="115"/>
      <c r="O138" s="115">
        <v>43.069215738006953</v>
      </c>
      <c r="P138" s="115"/>
      <c r="Q138" s="115"/>
      <c r="R138" s="115">
        <v>617.50022087568959</v>
      </c>
      <c r="S138" s="115"/>
      <c r="T138" s="80"/>
      <c r="U138" s="115">
        <v>6151.6527119092661</v>
      </c>
      <c r="V138" s="115"/>
      <c r="W138" s="115"/>
      <c r="X138" s="115">
        <v>1</v>
      </c>
      <c r="Y138" s="115"/>
      <c r="Z138" s="115"/>
      <c r="AA138" s="115"/>
      <c r="AB138"/>
      <c r="AC138" s="117"/>
      <c r="AD138"/>
    </row>
    <row r="139" spans="1:31" x14ac:dyDescent="0.2">
      <c r="A139" s="75">
        <v>2025</v>
      </c>
      <c r="B139" s="76" t="s">
        <v>58</v>
      </c>
      <c r="C139" s="116">
        <f t="shared" si="1"/>
        <v>31054.041398292837</v>
      </c>
      <c r="D139" s="115">
        <v>48442483.889999963</v>
      </c>
      <c r="E139" s="115"/>
      <c r="F139" s="115"/>
      <c r="G139" s="115">
        <v>28303.963724832745</v>
      </c>
      <c r="H139" s="115"/>
      <c r="I139" s="115">
        <v>2546.6399057880394</v>
      </c>
      <c r="J139" s="115"/>
      <c r="K139" s="115"/>
      <c r="L139" s="115">
        <v>202.43776767205043</v>
      </c>
      <c r="M139" s="115"/>
      <c r="N139" s="115"/>
      <c r="O139" s="115">
        <v>43.21496908708373</v>
      </c>
      <c r="P139" s="115"/>
      <c r="Q139" s="115"/>
      <c r="R139" s="115">
        <v>616.52034063241035</v>
      </c>
      <c r="S139" s="115"/>
      <c r="T139" s="80"/>
      <c r="U139" s="115">
        <v>6145.0481072670118</v>
      </c>
      <c r="V139" s="115"/>
      <c r="W139" s="115"/>
      <c r="X139" s="115">
        <v>1</v>
      </c>
      <c r="Y139" s="115"/>
      <c r="Z139" s="115"/>
      <c r="AA139" s="115"/>
      <c r="AB139"/>
      <c r="AC139" s="117"/>
      <c r="AD139"/>
    </row>
    <row r="140" spans="1:31" x14ac:dyDescent="0.2">
      <c r="A140" s="75">
        <v>2025</v>
      </c>
      <c r="B140" s="76" t="s">
        <v>59</v>
      </c>
      <c r="C140" s="116">
        <f t="shared" si="1"/>
        <v>31071.459706277827</v>
      </c>
      <c r="D140" s="115">
        <v>39207170.690000005</v>
      </c>
      <c r="E140" s="115"/>
      <c r="F140" s="115"/>
      <c r="G140" s="115">
        <v>28320.657554354173</v>
      </c>
      <c r="H140" s="115"/>
      <c r="I140" s="115">
        <v>2547.7356357308699</v>
      </c>
      <c r="J140" s="115"/>
      <c r="K140" s="115"/>
      <c r="L140" s="115">
        <v>202.06651619278156</v>
      </c>
      <c r="M140" s="115"/>
      <c r="N140" s="115"/>
      <c r="O140" s="115">
        <v>43.361215689599263</v>
      </c>
      <c r="P140" s="115"/>
      <c r="Q140" s="115"/>
      <c r="R140" s="115">
        <v>615.54201531212345</v>
      </c>
      <c r="S140" s="115"/>
      <c r="T140" s="80"/>
      <c r="U140" s="115">
        <v>6138.4505935326033</v>
      </c>
      <c r="V140" s="115"/>
      <c r="W140" s="115"/>
      <c r="X140" s="115">
        <v>1</v>
      </c>
      <c r="Y140" s="115"/>
      <c r="Z140" s="115"/>
      <c r="AA140" s="115"/>
      <c r="AB140"/>
      <c r="AC140" s="117"/>
      <c r="AD140"/>
    </row>
    <row r="141" spans="1:31" x14ac:dyDescent="0.2">
      <c r="A141" s="75">
        <v>2025</v>
      </c>
      <c r="B141" s="76" t="s">
        <v>60</v>
      </c>
      <c r="C141" s="116">
        <f t="shared" si="1"/>
        <v>31088.889012666823</v>
      </c>
      <c r="D141" s="115">
        <v>38537676.210000001</v>
      </c>
      <c r="E141" s="115"/>
      <c r="F141" s="115"/>
      <c r="G141" s="115">
        <v>28337.361229985738</v>
      </c>
      <c r="H141" s="115"/>
      <c r="I141" s="115">
        <v>2548.8318371279115</v>
      </c>
      <c r="J141" s="115"/>
      <c r="K141" s="115"/>
      <c r="L141" s="115">
        <v>201.69594555317244</v>
      </c>
      <c r="M141" s="115"/>
      <c r="N141" s="115"/>
      <c r="O141" s="115">
        <v>43.507957214804755</v>
      </c>
      <c r="P141" s="115"/>
      <c r="Q141" s="115"/>
      <c r="R141" s="115">
        <v>614.56524244739921</v>
      </c>
      <c r="S141" s="115"/>
      <c r="T141" s="80"/>
      <c r="U141" s="115">
        <v>6131.8601630930234</v>
      </c>
      <c r="V141" s="115"/>
      <c r="W141" s="115"/>
      <c r="X141" s="115">
        <v>1</v>
      </c>
      <c r="Y141" s="115"/>
      <c r="Z141" s="115"/>
      <c r="AA141" s="115"/>
      <c r="AB141"/>
      <c r="AC141" s="117"/>
      <c r="AD141"/>
    </row>
    <row r="142" spans="1:31" x14ac:dyDescent="0.2">
      <c r="A142" s="75">
        <v>2025</v>
      </c>
      <c r="B142" s="76" t="s">
        <v>61</v>
      </c>
      <c r="C142" s="116">
        <f t="shared" si="1"/>
        <v>31106.329322221369</v>
      </c>
      <c r="D142" s="115">
        <v>41368175.939999998</v>
      </c>
      <c r="E142" s="115"/>
      <c r="F142" s="115"/>
      <c r="G142" s="115">
        <v>28354.074757534727</v>
      </c>
      <c r="H142" s="115"/>
      <c r="I142" s="115">
        <v>2549.9285101820146</v>
      </c>
      <c r="J142" s="115"/>
      <c r="K142" s="115"/>
      <c r="L142" s="115">
        <v>201.32605450462833</v>
      </c>
      <c r="M142" s="115"/>
      <c r="N142" s="115"/>
      <c r="O142" s="115">
        <v>43.655195337600446</v>
      </c>
      <c r="P142" s="115"/>
      <c r="Q142" s="115"/>
      <c r="R142" s="115">
        <v>613.59001957472344</v>
      </c>
      <c r="S142" s="115"/>
      <c r="T142" s="80"/>
      <c r="U142" s="115">
        <v>6125.2768083434266</v>
      </c>
      <c r="V142" s="115"/>
      <c r="W142" s="115"/>
      <c r="X142" s="115">
        <v>1</v>
      </c>
      <c r="Y142" s="115"/>
      <c r="Z142" s="115"/>
      <c r="AA142" s="115"/>
      <c r="AB142"/>
      <c r="AC142" s="117"/>
      <c r="AD142"/>
    </row>
    <row r="143" spans="1:31" ht="13.5" thickBot="1" x14ac:dyDescent="0.25">
      <c r="A143" s="75">
        <v>2025</v>
      </c>
      <c r="B143" s="76" t="s">
        <v>62</v>
      </c>
      <c r="C143" s="116">
        <f>SUM(G143,I143,L143,X143)</f>
        <v>31123.780639708813</v>
      </c>
      <c r="D143" s="115">
        <v>48355956.890000001</v>
      </c>
      <c r="E143" s="115"/>
      <c r="F143" s="115">
        <f>Averages!B27</f>
        <v>239825021.94555604</v>
      </c>
      <c r="G143" s="115">
        <v>28370.798142811851</v>
      </c>
      <c r="H143" s="115">
        <f>Averages!D27</f>
        <v>69410244.351478517</v>
      </c>
      <c r="I143" s="115">
        <v>2551.0256550961162</v>
      </c>
      <c r="J143" s="115">
        <f>Averages!F27</f>
        <v>185314016.59084186</v>
      </c>
      <c r="K143" s="115">
        <f>Averages!G27</f>
        <v>567720.46000000008</v>
      </c>
      <c r="L143" s="115">
        <v>200.95684180084427</v>
      </c>
      <c r="M143" s="115">
        <f>Averages!I27</f>
        <v>1294985</v>
      </c>
      <c r="N143" s="115"/>
      <c r="O143" s="115">
        <v>43.802931738554719</v>
      </c>
      <c r="P143" s="115">
        <f>Averages!K27</f>
        <v>427408.11085004313</v>
      </c>
      <c r="Q143" s="115">
        <f>Averages!L27</f>
        <v>1400.8999999999933</v>
      </c>
      <c r="R143" s="115">
        <v>612.61634423449129</v>
      </c>
      <c r="S143" s="115">
        <f>Averages!N27</f>
        <v>1437972.6529836564</v>
      </c>
      <c r="T143" s="81">
        <f>Averages!O27</f>
        <v>4393</v>
      </c>
      <c r="U143" s="115">
        <v>6118.7005216871339</v>
      </c>
      <c r="V143" s="115">
        <f>Averages!Q27</f>
        <v>5636846.5921088494</v>
      </c>
      <c r="W143" s="115">
        <f>Averages!R27</f>
        <v>14981</v>
      </c>
      <c r="X143" s="115">
        <v>1</v>
      </c>
      <c r="Y143" s="115"/>
      <c r="Z143" s="115"/>
      <c r="AA143" s="115"/>
      <c r="AB143"/>
      <c r="AC143" s="117"/>
      <c r="AD143"/>
    </row>
    <row r="144" spans="1:31" x14ac:dyDescent="0.2">
      <c r="A144" s="60"/>
      <c r="B144" s="60"/>
      <c r="C144" s="79"/>
      <c r="D144" s="60"/>
      <c r="E144" s="77"/>
      <c r="F144" s="82"/>
      <c r="G144" s="82"/>
      <c r="H144" s="60"/>
      <c r="I144" s="83"/>
      <c r="J144" s="60"/>
      <c r="K144" s="83"/>
      <c r="L144" s="60"/>
      <c r="M144" s="60"/>
      <c r="N144" s="83"/>
      <c r="O144" s="60"/>
      <c r="P144" s="60"/>
      <c r="Q144" s="83"/>
      <c r="R144" s="60"/>
      <c r="S144" s="60"/>
      <c r="T144" s="83"/>
      <c r="U144" s="60"/>
      <c r="V144" s="60"/>
      <c r="W144" s="83"/>
      <c r="X144" s="60"/>
      <c r="Y144" s="60"/>
      <c r="Z144" s="83"/>
      <c r="AA144" s="60"/>
      <c r="AB144" s="60"/>
      <c r="AC144" s="84"/>
      <c r="AD144" s="84"/>
      <c r="AE144" s="60"/>
    </row>
    <row r="145" spans="1:31" ht="14.25" x14ac:dyDescent="0.2">
      <c r="A145" s="60"/>
      <c r="B145" s="60"/>
      <c r="C145" s="60"/>
      <c r="D145" s="60"/>
      <c r="E145" s="85"/>
      <c r="F145" s="86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77"/>
      <c r="V145" s="60"/>
      <c r="W145" s="60"/>
      <c r="X145" s="60"/>
      <c r="Y145" s="60"/>
      <c r="Z145" s="60"/>
      <c r="AA145" s="60"/>
      <c r="AB145" s="60"/>
      <c r="AC145" s="84"/>
      <c r="AD145" s="84"/>
      <c r="AE145" s="60"/>
    </row>
    <row r="146" spans="1:31" x14ac:dyDescent="0.2">
      <c r="A146" s="77"/>
      <c r="B146" s="77"/>
      <c r="C146" s="77"/>
      <c r="D146" s="116"/>
      <c r="E146" s="116"/>
      <c r="F146" s="116"/>
      <c r="G146" s="116"/>
      <c r="H146" s="116"/>
      <c r="I146" s="116"/>
      <c r="J146" s="116"/>
      <c r="K146" s="116"/>
      <c r="L146" s="116"/>
      <c r="M146" s="116"/>
      <c r="N146" s="116"/>
      <c r="O146" s="116"/>
      <c r="P146" s="116"/>
      <c r="Q146" s="116"/>
      <c r="R146" s="116"/>
      <c r="S146" s="116"/>
      <c r="T146" s="116"/>
      <c r="U146" s="116"/>
      <c r="V146" s="116"/>
      <c r="W146" s="116"/>
      <c r="X146" s="116"/>
      <c r="Y146" s="116"/>
      <c r="Z146" s="116"/>
      <c r="AA146" s="116"/>
      <c r="AB146" s="122"/>
      <c r="AC146" s="116"/>
      <c r="AD146" s="60"/>
      <c r="AE146" s="60"/>
    </row>
    <row r="147" spans="1:31" x14ac:dyDescent="0.2">
      <c r="A147" s="60"/>
      <c r="B147" s="60"/>
      <c r="C147" s="60"/>
      <c r="D147" s="116"/>
      <c r="E147" s="116"/>
      <c r="F147" s="116"/>
      <c r="G147" s="116"/>
      <c r="H147" s="116"/>
      <c r="I147" s="116"/>
      <c r="J147" s="116"/>
      <c r="K147" s="116"/>
      <c r="L147" s="116"/>
      <c r="M147" s="116"/>
      <c r="N147" s="116"/>
      <c r="O147" s="116"/>
      <c r="P147" s="116"/>
      <c r="Q147" s="116"/>
      <c r="R147" s="116"/>
      <c r="S147" s="116"/>
      <c r="T147" s="116"/>
      <c r="U147" s="116"/>
      <c r="V147" s="116"/>
      <c r="W147" s="116"/>
      <c r="X147" s="116"/>
      <c r="Y147" s="116"/>
      <c r="Z147" s="116"/>
      <c r="AA147" s="116"/>
      <c r="AB147" s="60"/>
      <c r="AC147" s="116"/>
      <c r="AD147" s="60"/>
      <c r="AE147" s="60"/>
    </row>
    <row r="148" spans="1:31" x14ac:dyDescent="0.2">
      <c r="A148" s="60"/>
      <c r="B148" s="60"/>
      <c r="C148" s="60"/>
      <c r="D148" s="116"/>
      <c r="E148" s="116"/>
      <c r="F148" s="116"/>
      <c r="G148" s="116"/>
      <c r="H148" s="116"/>
      <c r="I148" s="116"/>
      <c r="J148" s="116"/>
      <c r="K148" s="116"/>
      <c r="L148" s="116"/>
      <c r="M148" s="116"/>
      <c r="N148" s="116"/>
      <c r="O148" s="116"/>
      <c r="P148" s="116"/>
      <c r="Q148" s="116"/>
      <c r="R148" s="116"/>
      <c r="S148" s="116"/>
      <c r="T148" s="116"/>
      <c r="U148" s="116"/>
      <c r="V148" s="116"/>
      <c r="W148" s="116"/>
      <c r="X148" s="116"/>
      <c r="Y148" s="116"/>
      <c r="Z148" s="116"/>
      <c r="AA148" s="116"/>
      <c r="AB148" s="60"/>
      <c r="AC148" s="116"/>
      <c r="AD148" s="60"/>
      <c r="AE148" s="60"/>
    </row>
    <row r="149" spans="1:31" x14ac:dyDescent="0.2">
      <c r="A149" s="60"/>
      <c r="B149" s="60"/>
      <c r="C149" s="60"/>
      <c r="D149" s="60"/>
      <c r="E149" s="77"/>
      <c r="F149" s="82"/>
      <c r="G149" s="77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  <c r="AA149" s="60"/>
      <c r="AB149" s="60"/>
      <c r="AC149" s="60"/>
      <c r="AD149" s="60"/>
      <c r="AE149" s="60"/>
    </row>
    <row r="150" spans="1:31" x14ac:dyDescent="0.2">
      <c r="F150" s="116"/>
      <c r="H150" s="116"/>
      <c r="J150" s="116"/>
      <c r="K150" s="116"/>
      <c r="M150" s="116"/>
      <c r="N150" s="116"/>
      <c r="P150" s="116"/>
      <c r="Q150" s="116"/>
      <c r="S150" s="116"/>
      <c r="V150" s="116"/>
      <c r="W150" s="116"/>
      <c r="Y150" s="116"/>
      <c r="Z150" s="116"/>
    </row>
    <row r="151" spans="1:31" x14ac:dyDescent="0.2">
      <c r="F151" s="123"/>
      <c r="H151" s="123"/>
      <c r="J151" s="123"/>
      <c r="K151" s="116"/>
      <c r="M151" s="123"/>
      <c r="N151" s="116"/>
      <c r="P151" s="123"/>
      <c r="Q151" s="116"/>
      <c r="S151" s="123"/>
      <c r="V151" s="123"/>
      <c r="W151" s="116"/>
      <c r="Y151" s="123"/>
      <c r="Z151" s="116"/>
    </row>
    <row r="152" spans="1:31" x14ac:dyDescent="0.2">
      <c r="F152" s="123"/>
      <c r="H152" s="123"/>
      <c r="J152" s="123"/>
      <c r="K152" s="123"/>
      <c r="M152" s="123"/>
      <c r="N152" s="123"/>
      <c r="P152" s="123"/>
      <c r="Q152" s="123"/>
      <c r="S152" s="123"/>
      <c r="V152" s="123"/>
      <c r="W152" s="123"/>
      <c r="Y152" s="123"/>
      <c r="Z152" s="123"/>
    </row>
  </sheetData>
  <sheetProtection selectLockedCells="1" selectUnlockedCells="1"/>
  <mergeCells count="12">
    <mergeCell ref="A3:H3"/>
    <mergeCell ref="F20:AA20"/>
    <mergeCell ref="A20:B20"/>
    <mergeCell ref="D20:E20"/>
    <mergeCell ref="Y21:AA21"/>
    <mergeCell ref="F21:G21"/>
    <mergeCell ref="H21:I21"/>
    <mergeCell ref="P21:R21"/>
    <mergeCell ref="S21:U21"/>
    <mergeCell ref="V21:X21"/>
    <mergeCell ref="M21:O21"/>
    <mergeCell ref="J21:L21"/>
  </mergeCells>
  <pageMargins left="0.70866141732283472" right="0.70866141732283472" top="0.74803149606299213" bottom="0.74803149606299213" header="0.31496062992125984" footer="0.31496062992125984"/>
  <pageSetup paperSize="5" scale="37" orientation="portrait" r:id="rId1"/>
  <colBreaks count="1" manualBreakCount="1">
    <brk id="15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EB589-37C7-4744-A505-6BE88B9D0800}">
  <dimension ref="A2:L115"/>
  <sheetViews>
    <sheetView view="pageBreakPreview" topLeftCell="A11" zoomScale="85" zoomScaleNormal="100" zoomScaleSheetLayoutView="85" workbookViewId="0">
      <selection activeCell="C22" sqref="C22"/>
    </sheetView>
  </sheetViews>
  <sheetFormatPr defaultRowHeight="12.75" x14ac:dyDescent="0.2"/>
  <cols>
    <col min="1" max="1" width="24.85546875" bestFit="1" customWidth="1"/>
    <col min="2" max="2" width="7.7109375" bestFit="1" customWidth="1"/>
    <col min="3" max="3" width="9.140625" bestFit="1" customWidth="1"/>
    <col min="4" max="5" width="9.42578125" bestFit="1" customWidth="1"/>
    <col min="6" max="6" width="14.42578125" bestFit="1" customWidth="1"/>
    <col min="7" max="7" width="9.42578125" bestFit="1" customWidth="1"/>
    <col min="8" max="9" width="9.140625" bestFit="1" customWidth="1"/>
    <col min="10" max="10" width="13.140625" bestFit="1" customWidth="1"/>
    <col min="11" max="12" width="9.42578125" bestFit="1" customWidth="1"/>
  </cols>
  <sheetData>
    <row r="2" spans="1:12" x14ac:dyDescent="0.2">
      <c r="A2" s="12" t="s">
        <v>41</v>
      </c>
      <c r="C2" s="12">
        <v>2016</v>
      </c>
      <c r="D2" s="12">
        <v>2017</v>
      </c>
      <c r="E2" s="12">
        <v>2018</v>
      </c>
      <c r="F2" s="12">
        <v>2019</v>
      </c>
      <c r="G2" s="12">
        <v>2020</v>
      </c>
      <c r="H2" s="12">
        <v>2021</v>
      </c>
      <c r="I2" s="12">
        <v>2022</v>
      </c>
      <c r="J2" s="12">
        <v>2023</v>
      </c>
      <c r="K2" s="12">
        <v>2024</v>
      </c>
      <c r="L2" s="12">
        <v>2025</v>
      </c>
    </row>
    <row r="3" spans="1:12" x14ac:dyDescent="0.2">
      <c r="A3" s="173">
        <f>Averages!D3</f>
        <v>25920.25</v>
      </c>
      <c r="C3">
        <v>3.2457467764825332E-4</v>
      </c>
      <c r="D3">
        <v>6.3475969896431431E-4</v>
      </c>
      <c r="E3">
        <v>7.4145370386329988E-4</v>
      </c>
      <c r="F3">
        <v>9.531018762793165E-4</v>
      </c>
      <c r="G3">
        <v>8.3859038874588559E-4</v>
      </c>
      <c r="H3">
        <v>8.8949601965178577E-4</v>
      </c>
      <c r="I3">
        <v>1.1208922570625944E-3</v>
      </c>
      <c r="J3">
        <v>8.3159871729968852E-4</v>
      </c>
      <c r="K3">
        <v>6.0677675047662741E-4</v>
      </c>
      <c r="L3">
        <v>5.8980536025707428E-4</v>
      </c>
    </row>
    <row r="4" spans="1:12" x14ac:dyDescent="0.2">
      <c r="B4" t="s">
        <v>65</v>
      </c>
      <c r="C4" s="173">
        <f>A3*(1+$C$3)</f>
        <v>25928.663056788315</v>
      </c>
      <c r="D4" s="173">
        <f>C15*(1+$D$3)</f>
        <v>26037.90442833471</v>
      </c>
      <c r="E4" s="173">
        <f>D15*(1+$E$3)</f>
        <v>26239.729610088143</v>
      </c>
      <c r="F4" s="173">
        <f>E15*(1+$F$3)</f>
        <v>26479.749633179883</v>
      </c>
      <c r="G4" s="173">
        <f>F15*(1+$G$3)</f>
        <v>26781.132881775855</v>
      </c>
      <c r="H4" s="173">
        <f>G15*(1+$H$3)</f>
        <v>27053.256114031508</v>
      </c>
      <c r="I4" s="173">
        <f>H15*(1+$I$3)</f>
        <v>27349.759725435626</v>
      </c>
      <c r="J4" s="173">
        <f>I15*(1+$J$3)</f>
        <v>27711.89952184918</v>
      </c>
      <c r="K4" s="173">
        <f>J15*(1+$K$3)</f>
        <v>27983.422569301008</v>
      </c>
      <c r="L4" s="173">
        <f>K15*(1+$L$3)</f>
        <v>28187.382122172643</v>
      </c>
    </row>
    <row r="5" spans="1:12" x14ac:dyDescent="0.2">
      <c r="B5" t="s">
        <v>66</v>
      </c>
      <c r="C5" s="173">
        <f>C4*(1+$C$3)</f>
        <v>25937.078844241823</v>
      </c>
      <c r="D5" s="173">
        <f>D4*(1+$D$3)</f>
        <v>26054.4322407113</v>
      </c>
      <c r="E5" s="173">
        <f>E4*(1+$E$3)</f>
        <v>26259.185154795912</v>
      </c>
      <c r="F5" s="173">
        <f>F4*(1+$F$3)</f>
        <v>26504.987532238676</v>
      </c>
      <c r="G5" s="173">
        <f>G4*(1+$G$3)</f>
        <v>26803.591282410234</v>
      </c>
      <c r="H5" s="173">
        <f>H4*(1+$H$3)</f>
        <v>27077.319877663558</v>
      </c>
      <c r="I5" s="173">
        <f>I4*(1+$I$3)</f>
        <v>27380.415859344394</v>
      </c>
      <c r="J5" s="173">
        <f>J4*(1+$J$3)</f>
        <v>27734.944701945489</v>
      </c>
      <c r="K5" s="173">
        <f>K4*(1+$K$3)</f>
        <v>28000.402259514827</v>
      </c>
      <c r="L5" s="173">
        <f>L4*(1+$L$3)</f>
        <v>28204.007191239914</v>
      </c>
    </row>
    <row r="6" spans="1:12" x14ac:dyDescent="0.2">
      <c r="B6" t="s">
        <v>67</v>
      </c>
      <c r="C6" s="173">
        <f t="shared" ref="C6:C15" si="0">C5*(1+$C$3)</f>
        <v>25945.497363246832</v>
      </c>
      <c r="D6" s="173">
        <f>D5*(1+$D$3)</f>
        <v>26070.970544277097</v>
      </c>
      <c r="E6" s="173">
        <f t="shared" ref="E6:E15" si="1">E5*(1+$E$3)</f>
        <v>26278.655124889367</v>
      </c>
      <c r="F6" s="173">
        <f t="shared" ref="F6:F15" si="2">F5*(1+$F$3)</f>
        <v>26530.249485586413</v>
      </c>
      <c r="G6" s="173">
        <f t="shared" ref="G6:G15" si="3">G5*(1+$G$3)</f>
        <v>26826.068516443534</v>
      </c>
      <c r="H6" s="173">
        <f t="shared" ref="H6:H15" si="4">H5*(1+$H$3)</f>
        <v>27101.405045917578</v>
      </c>
      <c r="I6" s="173">
        <f t="shared" ref="I6:I15" si="5">I5*(1+$I$3)</f>
        <v>27411.106355476288</v>
      </c>
      <c r="J6" s="173">
        <f t="shared" ref="J6:J15" si="6">J5*(1+$J$3)</f>
        <v>27758.009046384006</v>
      </c>
      <c r="K6" s="173">
        <f t="shared" ref="K6:K15" si="7">K5*(1+$K$3)</f>
        <v>28017.392252609898</v>
      </c>
      <c r="L6" s="173">
        <f t="shared" ref="L6:L15" si="8">L5*(1+$L$3)</f>
        <v>28220.642065862037</v>
      </c>
    </row>
    <row r="7" spans="1:12" x14ac:dyDescent="0.2">
      <c r="B7" t="s">
        <v>68</v>
      </c>
      <c r="C7" s="173">
        <f t="shared" si="0"/>
        <v>25953.918614689934</v>
      </c>
      <c r="D7" s="173">
        <f t="shared" ref="D7:D15" si="9">D6*(1+$D$3)</f>
        <v>26087.519345691486</v>
      </c>
      <c r="E7" s="173">
        <f t="shared" si="1"/>
        <v>26298.139531064262</v>
      </c>
      <c r="F7" s="173">
        <f t="shared" si="2"/>
        <v>26555.535516149288</v>
      </c>
      <c r="G7" s="173">
        <f t="shared" si="3"/>
        <v>26848.564599669258</v>
      </c>
      <c r="H7" s="173">
        <f t="shared" si="4"/>
        <v>27125.511637832889</v>
      </c>
      <c r="I7" s="173">
        <f t="shared" si="5"/>
        <v>27441.831252347663</v>
      </c>
      <c r="J7" s="173">
        <f t="shared" si="6"/>
        <v>27781.092571101774</v>
      </c>
      <c r="K7" s="173">
        <f t="shared" si="7"/>
        <v>28034.392554837767</v>
      </c>
      <c r="L7" s="173">
        <f t="shared" si="8"/>
        <v>28237.286751822379</v>
      </c>
    </row>
    <row r="8" spans="1:12" x14ac:dyDescent="0.2">
      <c r="B8" t="s">
        <v>31</v>
      </c>
      <c r="C8" s="173">
        <f t="shared" si="0"/>
        <v>25962.342599458007</v>
      </c>
      <c r="D8" s="173">
        <f t="shared" si="9"/>
        <v>26104.078651618081</v>
      </c>
      <c r="E8" s="173">
        <f t="shared" si="1"/>
        <v>26317.638384024282</v>
      </c>
      <c r="F8" s="173">
        <f t="shared" si="2"/>
        <v>26580.845646875336</v>
      </c>
      <c r="G8" s="173">
        <f t="shared" si="3"/>
        <v>26871.079547894162</v>
      </c>
      <c r="H8" s="173">
        <f t="shared" si="4"/>
        <v>27149.639672465757</v>
      </c>
      <c r="I8" s="173">
        <f t="shared" si="5"/>
        <v>27472.59058851804</v>
      </c>
      <c r="J8" s="173">
        <f t="shared" si="6"/>
        <v>27804.195292049088</v>
      </c>
      <c r="K8" s="173">
        <f t="shared" si="7"/>
        <v>28051.403172453778</v>
      </c>
      <c r="L8" s="173">
        <f t="shared" si="8"/>
        <v>28253.941254907721</v>
      </c>
    </row>
    <row r="9" spans="1:12" x14ac:dyDescent="0.2">
      <c r="B9" t="s">
        <v>69</v>
      </c>
      <c r="C9" s="173">
        <f t="shared" si="0"/>
        <v>25970.769318438222</v>
      </c>
      <c r="D9" s="173">
        <f t="shared" si="9"/>
        <v>26120.648468724721</v>
      </c>
      <c r="E9" s="173">
        <f t="shared" si="1"/>
        <v>26337.15169448105</v>
      </c>
      <c r="F9" s="173">
        <f t="shared" si="2"/>
        <v>26606.179900734467</v>
      </c>
      <c r="G9" s="173">
        <f t="shared" si="3"/>
        <v>26893.61337693825</v>
      </c>
      <c r="H9" s="173">
        <f t="shared" si="4"/>
        <v>27173.789168889394</v>
      </c>
      <c r="I9" s="173">
        <f t="shared" si="5"/>
        <v>27503.384402590164</v>
      </c>
      <c r="J9" s="173">
        <f t="shared" si="6"/>
        <v>27827.317225189508</v>
      </c>
      <c r="K9" s="173">
        <f t="shared" si="7"/>
        <v>28068.424111717071</v>
      </c>
      <c r="L9" s="173">
        <f t="shared" si="8"/>
        <v>28270.605580908254</v>
      </c>
    </row>
    <row r="10" spans="1:12" x14ac:dyDescent="0.2">
      <c r="B10" t="s">
        <v>70</v>
      </c>
      <c r="C10" s="173">
        <f t="shared" si="0"/>
        <v>25979.198772518033</v>
      </c>
      <c r="D10" s="173">
        <f t="shared" si="9"/>
        <v>26137.22880368348</v>
      </c>
      <c r="E10" s="173">
        <f t="shared" si="1"/>
        <v>26356.67947315413</v>
      </c>
      <c r="F10" s="173">
        <f t="shared" si="2"/>
        <v>26631.538300718483</v>
      </c>
      <c r="G10" s="173">
        <f t="shared" si="3"/>
        <v>26916.166102634797</v>
      </c>
      <c r="H10" s="173">
        <f t="shared" si="4"/>
        <v>27197.960146193975</v>
      </c>
      <c r="I10" s="173">
        <f t="shared" si="5"/>
        <v>27534.212733210046</v>
      </c>
      <c r="J10" s="173">
        <f t="shared" si="6"/>
        <v>27850.458386499871</v>
      </c>
      <c r="K10" s="173">
        <f t="shared" si="7"/>
        <v>28085.45537889058</v>
      </c>
      <c r="L10" s="173">
        <f t="shared" si="8"/>
        <v>28287.279735617587</v>
      </c>
    </row>
    <row r="11" spans="1:12" x14ac:dyDescent="0.2">
      <c r="B11" t="s">
        <v>71</v>
      </c>
      <c r="C11" s="173">
        <f t="shared" si="0"/>
        <v>25987.630962585186</v>
      </c>
      <c r="D11" s="173">
        <f t="shared" si="9"/>
        <v>26153.819663170663</v>
      </c>
      <c r="E11" s="173">
        <f t="shared" si="1"/>
        <v>26376.221730771038</v>
      </c>
      <c r="F11" s="173">
        <f t="shared" si="2"/>
        <v>26656.920869841106</v>
      </c>
      <c r="G11" s="173">
        <f t="shared" si="3"/>
        <v>26938.737740830351</v>
      </c>
      <c r="H11" s="173">
        <f t="shared" si="4"/>
        <v>27222.152623486661</v>
      </c>
      <c r="I11" s="173">
        <f t="shared" si="5"/>
        <v>27565.075619067018</v>
      </c>
      <c r="J11" s="173">
        <f t="shared" si="6"/>
        <v>27873.618791970293</v>
      </c>
      <c r="K11" s="173">
        <f t="shared" si="7"/>
        <v>28102.496980241041</v>
      </c>
      <c r="L11" s="173">
        <f t="shared" si="8"/>
        <v>28303.963724832745</v>
      </c>
    </row>
    <row r="12" spans="1:12" x14ac:dyDescent="0.2">
      <c r="B12" t="s">
        <v>72</v>
      </c>
      <c r="C12" s="173">
        <f t="shared" si="0"/>
        <v>25996.065889527712</v>
      </c>
      <c r="D12" s="173">
        <f t="shared" si="9"/>
        <v>26170.421053866823</v>
      </c>
      <c r="E12" s="173">
        <f t="shared" si="1"/>
        <v>26395.778478067237</v>
      </c>
      <c r="F12" s="173">
        <f t="shared" si="2"/>
        <v>26682.327631137981</v>
      </c>
      <c r="G12" s="173">
        <f t="shared" si="3"/>
        <v>26961.328307384756</v>
      </c>
      <c r="H12" s="173">
        <f t="shared" si="4"/>
        <v>27246.366619891603</v>
      </c>
      <c r="I12" s="173">
        <f t="shared" si="5"/>
        <v>27595.973098893777</v>
      </c>
      <c r="J12" s="173">
        <f t="shared" si="6"/>
        <v>27896.7984576042</v>
      </c>
      <c r="K12" s="173">
        <f t="shared" si="7"/>
        <v>28119.548922038994</v>
      </c>
      <c r="L12" s="173">
        <f t="shared" si="8"/>
        <v>28320.657554354173</v>
      </c>
    </row>
    <row r="13" spans="1:12" x14ac:dyDescent="0.2">
      <c r="B13" t="s">
        <v>73</v>
      </c>
      <c r="C13" s="173">
        <f t="shared" si="0"/>
        <v>26004.503554233932</v>
      </c>
      <c r="D13" s="173">
        <f t="shared" si="9"/>
        <v>26187.032982456742</v>
      </c>
      <c r="E13" s="173">
        <f t="shared" si="1"/>
        <v>26415.349725786153</v>
      </c>
      <c r="F13" s="173">
        <f t="shared" si="2"/>
        <v>26707.758607666721</v>
      </c>
      <c r="G13" s="173">
        <f t="shared" si="3"/>
        <v>26983.937818171147</v>
      </c>
      <c r="H13" s="173">
        <f t="shared" si="4"/>
        <v>27270.602154549968</v>
      </c>
      <c r="I13" s="173">
        <f t="shared" si="5"/>
        <v>27626.905211466437</v>
      </c>
      <c r="J13" s="173">
        <f t="shared" si="6"/>
        <v>27919.997399418313</v>
      </c>
      <c r="K13" s="173">
        <f t="shared" si="7"/>
        <v>28136.611210558778</v>
      </c>
      <c r="L13" s="173">
        <f t="shared" si="8"/>
        <v>28337.361229985738</v>
      </c>
    </row>
    <row r="14" spans="1:12" x14ac:dyDescent="0.2">
      <c r="B14" t="s">
        <v>74</v>
      </c>
      <c r="C14" s="173">
        <f t="shared" si="0"/>
        <v>26012.943957592452</v>
      </c>
      <c r="D14" s="173">
        <f t="shared" si="9"/>
        <v>26203.65545562945</v>
      </c>
      <c r="E14" s="173">
        <f t="shared" si="1"/>
        <v>26434.935484679179</v>
      </c>
      <c r="F14" s="173">
        <f t="shared" si="2"/>
        <v>26733.213822506907</v>
      </c>
      <c r="G14" s="173">
        <f t="shared" si="3"/>
        <v>27006.566289075978</v>
      </c>
      <c r="H14" s="173">
        <f t="shared" si="4"/>
        <v>27294.859246619944</v>
      </c>
      <c r="I14" s="173">
        <f t="shared" si="5"/>
        <v>27657.871995604575</v>
      </c>
      <c r="J14" s="173">
        <f t="shared" si="6"/>
        <v>27943.215633442684</v>
      </c>
      <c r="K14" s="173">
        <f t="shared" si="7"/>
        <v>28153.683852078546</v>
      </c>
      <c r="L14" s="173">
        <f t="shared" si="8"/>
        <v>28354.074757534727</v>
      </c>
    </row>
    <row r="15" spans="1:12" x14ac:dyDescent="0.2">
      <c r="B15" t="s">
        <v>75</v>
      </c>
      <c r="C15" s="173">
        <f t="shared" si="0"/>
        <v>26021.387100492171</v>
      </c>
      <c r="D15" s="173">
        <f t="shared" si="9"/>
        <v>26220.288480078227</v>
      </c>
      <c r="E15" s="173">
        <f t="shared" si="1"/>
        <v>26454.53576550568</v>
      </c>
      <c r="F15" s="173">
        <f t="shared" si="2"/>
        <v>26758.693298760118</v>
      </c>
      <c r="G15" s="173">
        <f t="shared" si="3"/>
        <v>27029.213735999023</v>
      </c>
      <c r="H15" s="173">
        <f t="shared" si="4"/>
        <v>27319.137915276766</v>
      </c>
      <c r="I15" s="173">
        <f t="shared" si="5"/>
        <v>27688.873490171278</v>
      </c>
      <c r="J15" s="173">
        <f t="shared" si="6"/>
        <v>27966.453175720686</v>
      </c>
      <c r="K15" s="173">
        <f t="shared" si="7"/>
        <v>28170.766852880261</v>
      </c>
      <c r="L15" s="173">
        <f t="shared" si="8"/>
        <v>28370.798142811851</v>
      </c>
    </row>
    <row r="16" spans="1:12" x14ac:dyDescent="0.2">
      <c r="B16" t="s">
        <v>9</v>
      </c>
      <c r="C16" s="173">
        <f>AVERAGE(C4:C15)</f>
        <v>25975.00000281772</v>
      </c>
      <c r="D16" s="173">
        <f t="shared" ref="D16:L16" si="10">AVERAGE(D4:D15)</f>
        <v>26129.000009853564</v>
      </c>
      <c r="E16" s="173">
        <f t="shared" si="10"/>
        <v>26347.000013108871</v>
      </c>
      <c r="F16" s="173">
        <f t="shared" si="10"/>
        <v>26619.000020449614</v>
      </c>
      <c r="G16" s="173">
        <f t="shared" si="10"/>
        <v>26905.00001660228</v>
      </c>
      <c r="H16" s="173">
        <f t="shared" si="10"/>
        <v>27186.000018568298</v>
      </c>
      <c r="I16" s="173">
        <f t="shared" si="10"/>
        <v>27519.000027677106</v>
      </c>
      <c r="J16" s="173">
        <f t="shared" si="10"/>
        <v>27839.000016931259</v>
      </c>
      <c r="K16" s="173">
        <f t="shared" si="10"/>
        <v>28077.000009760213</v>
      </c>
      <c r="L16" s="173">
        <f t="shared" si="10"/>
        <v>28279.00000933748</v>
      </c>
    </row>
    <row r="17" spans="1:12" x14ac:dyDescent="0.2">
      <c r="C17" s="173" cm="1">
        <f t="array" ref="C17:L17">TRANSPOSE(Averages!C18:C27)</f>
        <v>25974.833333333336</v>
      </c>
      <c r="D17" s="173">
        <v>26128.916666666668</v>
      </c>
      <c r="E17" s="173">
        <v>26346.625</v>
      </c>
      <c r="F17" s="173">
        <v>26618.916666666664</v>
      </c>
      <c r="G17" s="173">
        <v>26904.5</v>
      </c>
      <c r="H17" s="173">
        <v>27185.5</v>
      </c>
      <c r="I17" s="173">
        <v>27519</v>
      </c>
      <c r="J17" s="173">
        <v>27839</v>
      </c>
      <c r="K17" s="173">
        <v>28076.5</v>
      </c>
      <c r="L17" s="173">
        <v>28278.5</v>
      </c>
    </row>
    <row r="18" spans="1:12" x14ac:dyDescent="0.2">
      <c r="C18" s="173">
        <f>C16-C17</f>
        <v>0.16666948438432883</v>
      </c>
      <c r="D18" s="173">
        <f t="shared" ref="D18:L18" si="11">D16-D17</f>
        <v>8.3343186895945109E-2</v>
      </c>
      <c r="E18" s="173">
        <f t="shared" si="11"/>
        <v>0.37501310887091677</v>
      </c>
      <c r="F18" s="173">
        <f t="shared" si="11"/>
        <v>8.33537829494162E-2</v>
      </c>
      <c r="G18" s="173">
        <f t="shared" si="11"/>
        <v>0.50001660228008404</v>
      </c>
      <c r="H18" s="173">
        <f t="shared" si="11"/>
        <v>0.50001856829840108</v>
      </c>
      <c r="I18" s="173">
        <f t="shared" si="11"/>
        <v>2.7677106118062511E-5</v>
      </c>
      <c r="J18" s="173">
        <f t="shared" si="11"/>
        <v>1.6931258869590238E-5</v>
      </c>
      <c r="K18" s="173">
        <f t="shared" si="11"/>
        <v>0.50000976021328825</v>
      </c>
      <c r="L18" s="173">
        <f t="shared" si="11"/>
        <v>0.50000933748015086</v>
      </c>
    </row>
    <row r="21" spans="1:12" x14ac:dyDescent="0.2">
      <c r="A21" s="12" t="str">
        <f>Averages!D16</f>
        <v>General Service &lt; 50 kW</v>
      </c>
      <c r="B21" s="12"/>
      <c r="C21" s="12">
        <v>2016</v>
      </c>
      <c r="D21" s="12">
        <v>2017</v>
      </c>
      <c r="E21" s="12">
        <v>2018</v>
      </c>
      <c r="F21" s="12">
        <v>2019</v>
      </c>
      <c r="G21" s="12">
        <v>2020</v>
      </c>
      <c r="H21" s="12">
        <v>2021</v>
      </c>
      <c r="I21" s="12">
        <v>2022</v>
      </c>
      <c r="J21" s="12">
        <v>2023</v>
      </c>
      <c r="K21" s="12">
        <v>2024</v>
      </c>
      <c r="L21" s="12">
        <v>2025</v>
      </c>
    </row>
    <row r="22" spans="1:12" x14ac:dyDescent="0.2">
      <c r="A22" s="173">
        <f>Averages!H3</f>
        <v>2492.1666666666665</v>
      </c>
      <c r="C22">
        <v>2.9804485128739531E-4</v>
      </c>
      <c r="D22">
        <v>2.4001444934597391E-4</v>
      </c>
      <c r="E22">
        <v>-5.7208432153533519E-4</v>
      </c>
      <c r="F22">
        <v>5.2962631693132778E-5</v>
      </c>
      <c r="G22">
        <v>-1.6834420066411121E-4</v>
      </c>
      <c r="H22">
        <v>5.1264138609079777E-4</v>
      </c>
      <c r="I22">
        <v>9.1630375906027052E-4</v>
      </c>
      <c r="J22">
        <v>-4.2711449836294331E-5</v>
      </c>
      <c r="K22">
        <v>2.7909508608254125E-4</v>
      </c>
      <c r="L22">
        <v>4.3026497006510395E-4</v>
      </c>
    </row>
    <row r="23" spans="1:12" x14ac:dyDescent="0.2">
      <c r="B23" t="s">
        <v>65</v>
      </c>
      <c r="C23" s="173">
        <f>A22*(1+$C$22)</f>
        <v>2492.909444110217</v>
      </c>
      <c r="D23" s="173">
        <f>C34*(1+$D$22)</f>
        <v>2501.6949205088295</v>
      </c>
      <c r="E23" s="173">
        <f>D34*(1+$E$22)</f>
        <v>2506.87276123634</v>
      </c>
      <c r="F23" s="173">
        <f>E34*(1+$F$22)</f>
        <v>2491.2741774750252</v>
      </c>
      <c r="G23" s="173">
        <f>F34*(1+$G$22)</f>
        <v>2492.3063147291018</v>
      </c>
      <c r="H23" s="173">
        <f>G34*(1+$H$22)</f>
        <v>2488.9702744383881</v>
      </c>
      <c r="I23" s="173">
        <f>H34*(1+$I$22)</f>
        <v>2505.3352930095139</v>
      </c>
      <c r="J23" s="173">
        <f>I34*(1+$J$22)</f>
        <v>2530.5953443304311</v>
      </c>
      <c r="K23" s="173">
        <f>J34*(1+$K$22)</f>
        <v>2530.1126038165498</v>
      </c>
      <c r="L23" s="173">
        <f>K34*(1+$L$22)</f>
        <v>2538.9829798850265</v>
      </c>
    </row>
    <row r="24" spans="1:12" x14ac:dyDescent="0.2">
      <c r="B24" t="s">
        <v>66</v>
      </c>
      <c r="C24" s="173">
        <f>C23*(1+$C$22)</f>
        <v>2493.6524429347601</v>
      </c>
      <c r="D24" s="173">
        <f>D23*(1+$D$22)</f>
        <v>2502.2953634376072</v>
      </c>
      <c r="E24" s="173">
        <f>E23*(1+$E$22)</f>
        <v>2505.4386186335528</v>
      </c>
      <c r="F24" s="173">
        <f>F23*(1+$F$22)</f>
        <v>2491.4061219117334</v>
      </c>
      <c r="G24" s="173">
        <f>G23*(1+$G$22)</f>
        <v>2491.8867494147385</v>
      </c>
      <c r="H24" s="173">
        <f>H23*(1+$H$22)</f>
        <v>2490.2462236098149</v>
      </c>
      <c r="I24" s="173">
        <f>I23*(1+$I$22)</f>
        <v>2507.6309411562047</v>
      </c>
      <c r="J24" s="173">
        <f>J23*(1+$J$22)</f>
        <v>2530.4872589343258</v>
      </c>
      <c r="K24" s="173">
        <f>K23*(1+$K$22)</f>
        <v>2530.8187458115103</v>
      </c>
      <c r="L24" s="173">
        <f>L23*(1+$L$22)</f>
        <v>2540.0754153208627</v>
      </c>
    </row>
    <row r="25" spans="1:12" x14ac:dyDescent="0.2">
      <c r="B25" t="s">
        <v>67</v>
      </c>
      <c r="C25" s="173">
        <f t="shared" ref="C25:C34" si="12">C24*(1+$C$22)</f>
        <v>2494.3956632062773</v>
      </c>
      <c r="D25" s="173">
        <f>D24*(1+$D$22)</f>
        <v>2502.8959504813638</v>
      </c>
      <c r="E25" s="173">
        <f>E24*(1+$E$22)</f>
        <v>2504.0052964812635</v>
      </c>
      <c r="F25" s="173">
        <f>F24*(1+$F$22)</f>
        <v>2491.5380733365664</v>
      </c>
      <c r="G25" s="173">
        <f t="shared" ref="G25:G34" si="13">G24*(1+$G$22)</f>
        <v>2491.4672547317628</v>
      </c>
      <c r="H25" s="173">
        <f>H24*(1+$H$22)</f>
        <v>2491.5228268855935</v>
      </c>
      <c r="I25" s="173">
        <f>I24*(1+$I$22)</f>
        <v>2509.9286928139218</v>
      </c>
      <c r="J25" s="173">
        <f>J24*(1+$J$22)</f>
        <v>2530.3791781547047</v>
      </c>
      <c r="K25" s="173">
        <f>K24*(1+$K$22)</f>
        <v>2531.525084887232</v>
      </c>
      <c r="L25" s="173">
        <f>L24*(1+$L$22)</f>
        <v>2541.1683207933988</v>
      </c>
    </row>
    <row r="26" spans="1:12" x14ac:dyDescent="0.2">
      <c r="B26" t="s">
        <v>68</v>
      </c>
      <c r="C26" s="173">
        <f t="shared" si="12"/>
        <v>2495.1391049907697</v>
      </c>
      <c r="D26" s="173">
        <f>D25*(1+$D$22)</f>
        <v>2503.4966816746887</v>
      </c>
      <c r="E26" s="173">
        <f>E25*(1+$E$22)</f>
        <v>2502.5727943101051</v>
      </c>
      <c r="F26" s="173">
        <f>F25*(1+$F$22)</f>
        <v>2491.670031749894</v>
      </c>
      <c r="G26" s="173">
        <f t="shared" si="13"/>
        <v>2491.047830668284</v>
      </c>
      <c r="H26" s="173">
        <f>H25*(1+$H$22)</f>
        <v>2492.800084601045</v>
      </c>
      <c r="I26" s="173">
        <f t="shared" ref="I26:I34" si="14">I25*(1+$I$22)</f>
        <v>2512.2285499101204</v>
      </c>
      <c r="J26" s="173">
        <f t="shared" ref="J26:J34" si="15">J25*(1+$J$22)</f>
        <v>2530.2711019913704</v>
      </c>
      <c r="K26" s="173">
        <f t="shared" ref="K26:K33" si="16">K25*(1+$K$22)</f>
        <v>2532.2316210987187</v>
      </c>
      <c r="L26" s="173">
        <f t="shared" ref="L26:L33" si="17">L25*(1+$L$22)</f>
        <v>2542.2616965048755</v>
      </c>
    </row>
    <row r="27" spans="1:12" x14ac:dyDescent="0.2">
      <c r="B27" t="s">
        <v>31</v>
      </c>
      <c r="C27" s="173">
        <f t="shared" si="12"/>
        <v>2495.8827683542581</v>
      </c>
      <c r="D27" s="173">
        <f t="shared" ref="D27:D34" si="18">D26*(1+$D$22)</f>
        <v>2504.0975570521805</v>
      </c>
      <c r="E27" s="173">
        <f t="shared" ref="E27:E34" si="19">E26*(1+$E$22)</f>
        <v>2501.1411116509794</v>
      </c>
      <c r="F27" s="173">
        <f t="shared" ref="F27:F34" si="20">F26*(1+$F$22)</f>
        <v>2491.8019971520866</v>
      </c>
      <c r="G27" s="173">
        <f>G26*(1+$G$22)</f>
        <v>2490.6284772124141</v>
      </c>
      <c r="H27" s="173">
        <f t="shared" ref="H27:H34" si="21">H26*(1+$H$22)</f>
        <v>2494.0779970916619</v>
      </c>
      <c r="I27" s="173">
        <f t="shared" si="14"/>
        <v>2514.5305143740215</v>
      </c>
      <c r="J27" s="173">
        <f t="shared" si="15"/>
        <v>2530.1630304441255</v>
      </c>
      <c r="K27" s="173">
        <f t="shared" si="16"/>
        <v>2532.93835450099</v>
      </c>
      <c r="L27" s="173">
        <f t="shared" si="17"/>
        <v>2543.3555426576199</v>
      </c>
    </row>
    <row r="28" spans="1:12" x14ac:dyDescent="0.2">
      <c r="B28" t="s">
        <v>69</v>
      </c>
      <c r="C28" s="173">
        <f t="shared" si="12"/>
        <v>2496.6266533627831</v>
      </c>
      <c r="D28" s="173">
        <f t="shared" si="18"/>
        <v>2504.6985766484449</v>
      </c>
      <c r="E28" s="173">
        <f t="shared" si="19"/>
        <v>2499.7102480350563</v>
      </c>
      <c r="F28" s="173">
        <f t="shared" si="20"/>
        <v>2491.9339695435142</v>
      </c>
      <c r="G28" s="173">
        <f t="shared" si="13"/>
        <v>2490.2091943522664</v>
      </c>
      <c r="H28" s="173">
        <f t="shared" si="21"/>
        <v>2495.3565646931092</v>
      </c>
      <c r="I28" s="173">
        <f t="shared" si="14"/>
        <v>2516.834588136614</v>
      </c>
      <c r="J28" s="173">
        <f t="shared" si="15"/>
        <v>2530.0549635127732</v>
      </c>
      <c r="K28" s="173">
        <f t="shared" si="16"/>
        <v>2533.6452851490812</v>
      </c>
      <c r="L28" s="173">
        <f t="shared" si="17"/>
        <v>2544.4498594540464</v>
      </c>
    </row>
    <row r="29" spans="1:12" x14ac:dyDescent="0.2">
      <c r="B29" t="s">
        <v>70</v>
      </c>
      <c r="C29" s="173">
        <f t="shared" si="12"/>
        <v>2497.370760082405</v>
      </c>
      <c r="D29" s="173">
        <f t="shared" si="18"/>
        <v>2505.299740498097</v>
      </c>
      <c r="E29" s="173">
        <f t="shared" si="19"/>
        <v>2498.2802029937743</v>
      </c>
      <c r="F29" s="173">
        <f t="shared" si="20"/>
        <v>2492.0659489245468</v>
      </c>
      <c r="G29" s="173">
        <f t="shared" si="13"/>
        <v>2489.7899820759567</v>
      </c>
      <c r="H29" s="173">
        <f t="shared" si="21"/>
        <v>2496.6357877412242</v>
      </c>
      <c r="I29" s="173">
        <f t="shared" si="14"/>
        <v>2519.1407731306563</v>
      </c>
      <c r="J29" s="173">
        <f t="shared" si="15"/>
        <v>2529.9469011971159</v>
      </c>
      <c r="K29" s="173">
        <f t="shared" si="16"/>
        <v>2534.3524130980422</v>
      </c>
      <c r="L29" s="173">
        <f t="shared" si="17"/>
        <v>2545.5446470966567</v>
      </c>
    </row>
    <row r="30" spans="1:12" x14ac:dyDescent="0.2">
      <c r="B30" t="s">
        <v>71</v>
      </c>
      <c r="C30" s="173">
        <f t="shared" si="12"/>
        <v>2498.1150885792035</v>
      </c>
      <c r="D30" s="173">
        <f t="shared" si="18"/>
        <v>2505.9010486357593</v>
      </c>
      <c r="E30" s="173">
        <f t="shared" si="19"/>
        <v>2496.8509760588395</v>
      </c>
      <c r="F30" s="173">
        <f t="shared" si="20"/>
        <v>2492.197935295555</v>
      </c>
      <c r="G30" s="173">
        <f t="shared" si="13"/>
        <v>2489.3708403716028</v>
      </c>
      <c r="H30" s="173">
        <f t="shared" si="21"/>
        <v>2497.9156665720157</v>
      </c>
      <c r="I30" s="173">
        <f t="shared" si="14"/>
        <v>2521.4490712906777</v>
      </c>
      <c r="J30" s="173">
        <f t="shared" si="15"/>
        <v>2529.838843496957</v>
      </c>
      <c r="K30" s="173">
        <f t="shared" si="16"/>
        <v>2535.0597384029393</v>
      </c>
      <c r="L30" s="173">
        <f t="shared" si="17"/>
        <v>2546.6399057880394</v>
      </c>
    </row>
    <row r="31" spans="1:12" x14ac:dyDescent="0.2">
      <c r="B31" t="s">
        <v>72</v>
      </c>
      <c r="C31" s="173">
        <f t="shared" si="12"/>
        <v>2498.859638919278</v>
      </c>
      <c r="D31" s="173">
        <f t="shared" si="18"/>
        <v>2506.502501096063</v>
      </c>
      <c r="E31" s="173">
        <f t="shared" si="19"/>
        <v>2495.4225667622259</v>
      </c>
      <c r="F31" s="173">
        <f t="shared" si="20"/>
        <v>2492.3299286569086</v>
      </c>
      <c r="G31" s="173">
        <f t="shared" si="13"/>
        <v>2488.9517692273239</v>
      </c>
      <c r="H31" s="173">
        <f t="shared" si="21"/>
        <v>2499.196201521665</v>
      </c>
      <c r="I31" s="173">
        <f t="shared" si="14"/>
        <v>2523.7594845529802</v>
      </c>
      <c r="J31" s="173">
        <f t="shared" si="15"/>
        <v>2529.7307904120994</v>
      </c>
      <c r="K31" s="173">
        <f t="shared" si="16"/>
        <v>2535.7672611188532</v>
      </c>
      <c r="L31" s="173">
        <f t="shared" si="17"/>
        <v>2547.7356357308699</v>
      </c>
    </row>
    <row r="32" spans="1:12" x14ac:dyDescent="0.2">
      <c r="B32" t="s">
        <v>73</v>
      </c>
      <c r="C32" s="173">
        <f t="shared" si="12"/>
        <v>2499.6044111687479</v>
      </c>
      <c r="D32" s="173">
        <f t="shared" si="18"/>
        <v>2507.1040979136478</v>
      </c>
      <c r="E32" s="173">
        <f t="shared" si="19"/>
        <v>2493.9949746361758</v>
      </c>
      <c r="F32" s="173">
        <f t="shared" si="20"/>
        <v>2492.4619290089781</v>
      </c>
      <c r="G32" s="173">
        <f t="shared" si="13"/>
        <v>2488.5327686312417</v>
      </c>
      <c r="H32" s="173">
        <f t="shared" si="21"/>
        <v>2500.4773929265257</v>
      </c>
      <c r="I32" s="173">
        <f t="shared" si="14"/>
        <v>2526.0720148556402</v>
      </c>
      <c r="J32" s="173">
        <f t="shared" si="15"/>
        <v>2529.6227419423453</v>
      </c>
      <c r="K32" s="173">
        <f t="shared" si="16"/>
        <v>2536.4749813008802</v>
      </c>
      <c r="L32" s="173">
        <f t="shared" si="17"/>
        <v>2548.8318371279115</v>
      </c>
    </row>
    <row r="33" spans="1:12" x14ac:dyDescent="0.2">
      <c r="B33" t="s">
        <v>74</v>
      </c>
      <c r="C33" s="173">
        <f t="shared" si="12"/>
        <v>2500.349405393752</v>
      </c>
      <c r="D33" s="173">
        <f t="shared" si="18"/>
        <v>2507.7058391231617</v>
      </c>
      <c r="E33" s="173">
        <f t="shared" si="19"/>
        <v>2492.5681992131986</v>
      </c>
      <c r="F33" s="173">
        <f t="shared" si="20"/>
        <v>2492.5939363521334</v>
      </c>
      <c r="G33" s="173">
        <f t="shared" si="13"/>
        <v>2488.1138385714798</v>
      </c>
      <c r="H33" s="173">
        <f t="shared" si="21"/>
        <v>2501.759241123124</v>
      </c>
      <c r="I33" s="173">
        <f t="shared" si="14"/>
        <v>2528.3866641385093</v>
      </c>
      <c r="J33" s="173">
        <f t="shared" si="15"/>
        <v>2529.5146980874983</v>
      </c>
      <c r="K33" s="173">
        <f t="shared" si="16"/>
        <v>2537.1828990041327</v>
      </c>
      <c r="L33" s="173">
        <f t="shared" si="17"/>
        <v>2549.9285101820146</v>
      </c>
    </row>
    <row r="34" spans="1:12" x14ac:dyDescent="0.2">
      <c r="B34" t="s">
        <v>75</v>
      </c>
      <c r="C34" s="173">
        <f t="shared" si="12"/>
        <v>2501.0946216604493</v>
      </c>
      <c r="D34" s="173">
        <f t="shared" si="18"/>
        <v>2508.3077247592605</v>
      </c>
      <c r="E34" s="173">
        <f t="shared" si="19"/>
        <v>2491.1422400260712</v>
      </c>
      <c r="F34" s="173">
        <f t="shared" si="20"/>
        <v>2492.7259506867449</v>
      </c>
      <c r="G34" s="173">
        <f t="shared" si="13"/>
        <v>2487.6949790361641</v>
      </c>
      <c r="H34" s="173">
        <f t="shared" si="21"/>
        <v>2503.0417464481588</v>
      </c>
      <c r="I34" s="173">
        <f t="shared" si="14"/>
        <v>2530.7034343432174</v>
      </c>
      <c r="J34" s="173">
        <f t="shared" si="15"/>
        <v>2529.4066588473611</v>
      </c>
      <c r="K34" s="173">
        <f>K33*(1+$K$22)</f>
        <v>2537.8910142837371</v>
      </c>
      <c r="L34" s="173">
        <f>L33*(1+$L$22)</f>
        <v>2551.0256550961162</v>
      </c>
    </row>
    <row r="35" spans="1:12" x14ac:dyDescent="0.2">
      <c r="B35" t="s">
        <v>9</v>
      </c>
      <c r="C35" s="173">
        <f>AVERAGE(C23:C34)</f>
        <v>2497.0000002302422</v>
      </c>
      <c r="D35" s="173">
        <f t="shared" ref="D35" si="22">AVERAGE(D23:D34)</f>
        <v>2505.0000001524254</v>
      </c>
      <c r="E35" s="173">
        <f t="shared" ref="E35" si="23">AVERAGE(E23:E34)</f>
        <v>2498.9999991697982</v>
      </c>
      <c r="F35" s="173">
        <f t="shared" ref="F35" si="24">AVERAGE(F23:F34)</f>
        <v>2492.0000000078071</v>
      </c>
      <c r="G35" s="173">
        <f t="shared" ref="G35" si="25">AVERAGE(G23:G34)</f>
        <v>2489.9999999185279</v>
      </c>
      <c r="H35" s="173">
        <f t="shared" ref="H35" si="26">AVERAGE(H23:H34)</f>
        <v>2496.0000006376936</v>
      </c>
      <c r="I35" s="173">
        <f t="shared" ref="I35" si="27">AVERAGE(I23:I34)</f>
        <v>2518.0000018093401</v>
      </c>
      <c r="J35" s="173">
        <f t="shared" ref="J35" si="28">AVERAGE(J23:J34)</f>
        <v>2530.000959279259</v>
      </c>
      <c r="K35" s="173">
        <f t="shared" ref="K35" si="29">AVERAGE(K23:K34)</f>
        <v>2534.0000002060556</v>
      </c>
      <c r="L35" s="173">
        <f t="shared" ref="L35" si="30">AVERAGE(L23:L34)</f>
        <v>2545.0000004697868</v>
      </c>
    </row>
    <row r="36" spans="1:12" x14ac:dyDescent="0.2">
      <c r="C36" s="173" cm="1">
        <f t="array" ref="C36:L36">TRANSPOSE(Averages!E18:E27)</f>
        <v>2497.4166666666665</v>
      </c>
      <c r="D36" s="173">
        <v>2504.6666666666665</v>
      </c>
      <c r="E36" s="173">
        <v>2498.708333333333</v>
      </c>
      <c r="F36" s="173">
        <v>2492.375</v>
      </c>
      <c r="G36" s="173">
        <v>2490</v>
      </c>
      <c r="H36" s="173">
        <v>2495.5</v>
      </c>
      <c r="I36" s="173">
        <v>2517.5</v>
      </c>
      <c r="J36" s="173">
        <v>2530</v>
      </c>
      <c r="K36" s="173">
        <v>2533.5</v>
      </c>
      <c r="L36" s="173">
        <v>2544.5</v>
      </c>
    </row>
    <row r="37" spans="1:12" x14ac:dyDescent="0.2">
      <c r="C37" s="173">
        <f>C35-C36</f>
        <v>-0.41666643642429335</v>
      </c>
      <c r="D37" s="173">
        <f t="shared" ref="D37" si="31">D35-D36</f>
        <v>0.33333348575888522</v>
      </c>
      <c r="E37" s="173">
        <f t="shared" ref="E37" si="32">E35-E36</f>
        <v>0.29166583646519939</v>
      </c>
      <c r="F37" s="173">
        <f t="shared" ref="F37" si="33">F35-F36</f>
        <v>-0.37499999219289748</v>
      </c>
      <c r="G37" s="173">
        <f t="shared" ref="G37" si="34">G35-G36</f>
        <v>-8.1472080637468025E-8</v>
      </c>
      <c r="H37" s="173">
        <f t="shared" ref="H37" si="35">H35-H36</f>
        <v>0.50000063769357439</v>
      </c>
      <c r="I37" s="173">
        <f t="shared" ref="I37" si="36">I35-I36</f>
        <v>0.50000180934011951</v>
      </c>
      <c r="J37" s="173">
        <f t="shared" ref="J37" si="37">J35-J36</f>
        <v>9.5927925895011867E-4</v>
      </c>
      <c r="K37" s="173">
        <f t="shared" ref="K37" si="38">K35-K36</f>
        <v>0.50000020605557438</v>
      </c>
      <c r="L37" s="173">
        <f t="shared" ref="L37" si="39">L35-L36</f>
        <v>0.50000046978675527</v>
      </c>
    </row>
    <row r="40" spans="1:12" x14ac:dyDescent="0.2">
      <c r="A40" s="12" t="str">
        <f>Averages!F16</f>
        <v>General Service &gt;= 50 kW</v>
      </c>
      <c r="B40" s="12"/>
      <c r="C40" s="12">
        <v>2016</v>
      </c>
      <c r="D40" s="12">
        <v>2017</v>
      </c>
      <c r="E40" s="12">
        <v>2018</v>
      </c>
      <c r="F40" s="12">
        <v>2019</v>
      </c>
      <c r="G40" s="12">
        <v>2020</v>
      </c>
      <c r="H40" s="12">
        <v>2021</v>
      </c>
      <c r="I40" s="12">
        <v>2022</v>
      </c>
      <c r="J40" s="12">
        <v>2023</v>
      </c>
      <c r="K40" s="12">
        <v>2024</v>
      </c>
      <c r="L40" s="12">
        <v>2025</v>
      </c>
    </row>
    <row r="41" spans="1:12" x14ac:dyDescent="0.2">
      <c r="A41" s="173">
        <f>Averages!N3</f>
        <v>219.66666666666666</v>
      </c>
      <c r="C41">
        <v>-4.7508642788604725E-3</v>
      </c>
      <c r="D41">
        <v>-4.114374835049105E-3</v>
      </c>
      <c r="E41">
        <v>4.2654111897112604E-4</v>
      </c>
      <c r="F41">
        <v>-4.3028207297153729E-3</v>
      </c>
      <c r="G41">
        <v>2.8631447677144356E-3</v>
      </c>
      <c r="H41">
        <v>3.0934701836309157E-3</v>
      </c>
      <c r="I41">
        <v>-1.0667676562506688E-3</v>
      </c>
      <c r="J41">
        <v>1.3667898121954162E-4</v>
      </c>
      <c r="K41">
        <v>2.1731429557881586E-3</v>
      </c>
      <c r="L41">
        <v>-1.8339042340670836E-3</v>
      </c>
    </row>
    <row r="42" spans="1:12" x14ac:dyDescent="0.2">
      <c r="B42" t="s">
        <v>65</v>
      </c>
      <c r="C42" s="173">
        <f>A41*(1+$C$41)</f>
        <v>218.62306014674363</v>
      </c>
      <c r="D42" s="173">
        <f>C53*(1+$D$41)</f>
        <v>206.61190069183152</v>
      </c>
      <c r="E42" s="173">
        <f>D53*(1+$E$41)</f>
        <v>197.53526472694514</v>
      </c>
      <c r="F42" s="173">
        <f>E53*(1+$F$41)</f>
        <v>197.61011463266254</v>
      </c>
      <c r="G42" s="173">
        <f>F53*(1+$G$41)</f>
        <v>188.99524871220973</v>
      </c>
      <c r="H42" s="173">
        <f>G53*(1+$H$41)</f>
        <v>195.63685545757085</v>
      </c>
      <c r="I42" s="173">
        <f>H53*(1+$I$41)</f>
        <v>202.18203867172127</v>
      </c>
      <c r="J42" s="173">
        <f>I53*(1+$J$41)</f>
        <v>199.84947039258847</v>
      </c>
      <c r="K42" s="173">
        <f>J53*(1+$K$41)</f>
        <v>200.58509813076148</v>
      </c>
      <c r="L42" s="173">
        <f>K53*(1+$L$41)</f>
        <v>205.05569690216859</v>
      </c>
    </row>
    <row r="43" spans="1:12" x14ac:dyDescent="0.2">
      <c r="B43" t="s">
        <v>66</v>
      </c>
      <c r="C43" s="173">
        <f>C42*(1+$C$41)</f>
        <v>217.58441165975728</v>
      </c>
      <c r="D43" s="173">
        <f>D42*(1+$D$41)</f>
        <v>205.76182188700341</v>
      </c>
      <c r="E43" s="173">
        <f>E42*(1+$E$41)</f>
        <v>197.61952163979805</v>
      </c>
      <c r="F43" s="173">
        <f>F42*(1+$F$41)</f>
        <v>196.7598337350197</v>
      </c>
      <c r="G43" s="173">
        <f>G42*(1+$G$41)</f>
        <v>189.536369469683</v>
      </c>
      <c r="H43" s="173">
        <f>H42*(1+$H$41)</f>
        <v>196.24205223674815</v>
      </c>
      <c r="I43" s="173">
        <f>I42*(1+$I$41)</f>
        <v>201.96635741219146</v>
      </c>
      <c r="J43" s="173">
        <f>J42*(1+$J$41)</f>
        <v>199.87678561459902</v>
      </c>
      <c r="K43" s="173">
        <f>K42*(1+$K$41)</f>
        <v>201.0209982238004</v>
      </c>
      <c r="L43" s="173">
        <f>L42*(1+$L$41)</f>
        <v>204.67964439140013</v>
      </c>
    </row>
    <row r="44" spans="1:12" x14ac:dyDescent="0.2">
      <c r="B44" t="s">
        <v>67</v>
      </c>
      <c r="C44" s="173">
        <f t="shared" ref="C44:C53" si="40">C43*(1+$C$41)</f>
        <v>216.55069765076607</v>
      </c>
      <c r="D44" s="173">
        <f t="shared" ref="D44:D53" si="41">D43*(1+$D$41)</f>
        <v>204.91524062501767</v>
      </c>
      <c r="E44" s="173">
        <f t="shared" ref="E44:E53" si="42">E43*(1+$E$41)</f>
        <v>197.70381449168886</v>
      </c>
      <c r="F44" s="173">
        <f>F43*(1+$F$41)</f>
        <v>195.91321144364932</v>
      </c>
      <c r="G44" s="173">
        <f>G43*(1+$G$41)</f>
        <v>190.07903953422172</v>
      </c>
      <c r="H44" s="173">
        <f t="shared" ref="H44:H53" si="43">H43*(1+$H$41)</f>
        <v>196.84912117411707</v>
      </c>
      <c r="I44" s="173">
        <f t="shared" ref="I44:I53" si="44">I43*(1+$I$41)</f>
        <v>201.75090623445337</v>
      </c>
      <c r="J44" s="173">
        <f t="shared" ref="J44:J53" si="45">J43*(1+$J$41)</f>
        <v>199.90410457002628</v>
      </c>
      <c r="K44" s="173">
        <f t="shared" ref="K44:K53" si="46">K43*(1+$K$41)</f>
        <v>201.45784559005594</v>
      </c>
      <c r="L44" s="173">
        <f t="shared" ref="L44:L53" si="47">L43*(1+$L$41)</f>
        <v>204.3042815249234</v>
      </c>
    </row>
    <row r="45" spans="1:12" x14ac:dyDescent="0.2">
      <c r="B45" t="s">
        <v>68</v>
      </c>
      <c r="C45" s="173">
        <f t="shared" si="40"/>
        <v>215.52189467673472</v>
      </c>
      <c r="D45" s="173">
        <f t="shared" si="41"/>
        <v>204.07214251567208</v>
      </c>
      <c r="E45" s="173">
        <f t="shared" si="42"/>
        <v>197.78814329794702</v>
      </c>
      <c r="F45" s="173">
        <f>F44*(1+$F$41)</f>
        <v>195.07023201622448</v>
      </c>
      <c r="G45" s="173">
        <f t="shared" ref="G45:G53" si="48">G44*(1+$G$41)</f>
        <v>190.62326334171632</v>
      </c>
      <c r="H45" s="173">
        <f t="shared" si="43"/>
        <v>197.45806806114317</v>
      </c>
      <c r="I45" s="173">
        <f t="shared" si="44"/>
        <v>201.53568489306318</v>
      </c>
      <c r="J45" s="173">
        <f t="shared" si="45"/>
        <v>199.93142725938051</v>
      </c>
      <c r="K45" s="173">
        <f t="shared" si="46"/>
        <v>201.8956422880882</v>
      </c>
      <c r="L45" s="173">
        <f t="shared" si="47"/>
        <v>203.92960703799682</v>
      </c>
    </row>
    <row r="46" spans="1:12" x14ac:dyDescent="0.2">
      <c r="B46" t="s">
        <v>31</v>
      </c>
      <c r="C46" s="173">
        <f t="shared" si="40"/>
        <v>214.49797940600268</v>
      </c>
      <c r="D46" s="173">
        <f t="shared" si="41"/>
        <v>203.23251322797105</v>
      </c>
      <c r="E46" s="173">
        <f t="shared" si="42"/>
        <v>197.87250807390856</v>
      </c>
      <c r="F46" s="173">
        <f t="shared" ref="F46:F53" si="49">F45*(1+$F$41)</f>
        <v>194.2308797781547</v>
      </c>
      <c r="G46" s="173">
        <f t="shared" si="48"/>
        <v>191.16904534075783</v>
      </c>
      <c r="H46" s="173">
        <f t="shared" si="43"/>
        <v>198.06889870720767</v>
      </c>
      <c r="I46" s="173">
        <f t="shared" si="44"/>
        <v>201.32069314283893</v>
      </c>
      <c r="J46" s="173">
        <f t="shared" si="45"/>
        <v>199.95875368317212</v>
      </c>
      <c r="K46" s="173">
        <f t="shared" si="46"/>
        <v>202.33439038093087</v>
      </c>
      <c r="L46" s="173">
        <f t="shared" si="47"/>
        <v>203.5556196681982</v>
      </c>
    </row>
    <row r="47" spans="1:12" x14ac:dyDescent="0.2">
      <c r="B47" t="s">
        <v>69</v>
      </c>
      <c r="C47" s="173">
        <f t="shared" si="40"/>
        <v>213.47892861775495</v>
      </c>
      <c r="D47" s="173">
        <f t="shared" si="41"/>
        <v>202.39633848988211</v>
      </c>
      <c r="E47" s="173">
        <f t="shared" si="42"/>
        <v>197.95690883491605</v>
      </c>
      <c r="F47" s="173">
        <f t="shared" si="49"/>
        <v>193.39513912229441</v>
      </c>
      <c r="G47" s="173">
        <f t="shared" si="48"/>
        <v>191.71638999267421</v>
      </c>
      <c r="H47" s="173">
        <f t="shared" si="43"/>
        <v>198.68161893966303</v>
      </c>
      <c r="I47" s="173">
        <f t="shared" si="44"/>
        <v>201.1059307388602</v>
      </c>
      <c r="J47" s="173">
        <f t="shared" si="45"/>
        <v>199.98608384191147</v>
      </c>
      <c r="K47" s="173">
        <f t="shared" si="46"/>
        <v>202.77409193610086</v>
      </c>
      <c r="L47" s="173">
        <f t="shared" si="47"/>
        <v>203.18231815542055</v>
      </c>
    </row>
    <row r="48" spans="1:12" x14ac:dyDescent="0.2">
      <c r="B48" t="s">
        <v>70</v>
      </c>
      <c r="C48" s="173">
        <f t="shared" si="40"/>
        <v>212.46471920149543</v>
      </c>
      <c r="D48" s="173">
        <f t="shared" si="41"/>
        <v>201.56360408809326</v>
      </c>
      <c r="E48" s="173">
        <f t="shared" si="42"/>
        <v>198.04134559631859</v>
      </c>
      <c r="F48" s="173">
        <f t="shared" si="49"/>
        <v>192.56299450865282</v>
      </c>
      <c r="G48" s="173">
        <f t="shared" si="48"/>
        <v>192.26530177156687</v>
      </c>
      <c r="H48" s="173">
        <f t="shared" si="43"/>
        <v>199.29623460388839</v>
      </c>
      <c r="I48" s="173">
        <f t="shared" si="44"/>
        <v>200.8913974364678</v>
      </c>
      <c r="J48" s="173">
        <f t="shared" si="45"/>
        <v>200.01341773610909</v>
      </c>
      <c r="K48" s="173">
        <f t="shared" si="46"/>
        <v>203.21474902560811</v>
      </c>
      <c r="L48" s="173">
        <f t="shared" si="47"/>
        <v>202.80970124186777</v>
      </c>
    </row>
    <row r="49" spans="1:12" x14ac:dyDescent="0.2">
      <c r="B49" t="s">
        <v>71</v>
      </c>
      <c r="C49" s="173">
        <f t="shared" si="40"/>
        <v>211.45532815652291</v>
      </c>
      <c r="D49" s="173">
        <f t="shared" si="41"/>
        <v>200.73429586777141</v>
      </c>
      <c r="E49" s="173">
        <f t="shared" si="42"/>
        <v>198.12581837347182</v>
      </c>
      <c r="F49" s="173">
        <f t="shared" si="49"/>
        <v>191.73443046410492</v>
      </c>
      <c r="G49" s="173">
        <f t="shared" si="48"/>
        <v>192.81578516434718</v>
      </c>
      <c r="H49" s="173">
        <f t="shared" si="43"/>
        <v>199.91275156334544</v>
      </c>
      <c r="I49" s="173">
        <f t="shared" si="44"/>
        <v>200.67709299126358</v>
      </c>
      <c r="J49" s="173">
        <f t="shared" si="45"/>
        <v>200.0407553662755</v>
      </c>
      <c r="K49" s="173">
        <f t="shared" si="46"/>
        <v>203.65636372596535</v>
      </c>
      <c r="L49" s="173">
        <f t="shared" si="47"/>
        <v>202.43776767205043</v>
      </c>
    </row>
    <row r="50" spans="1:12" x14ac:dyDescent="0.2">
      <c r="B50" t="s">
        <v>72</v>
      </c>
      <c r="C50" s="173">
        <f t="shared" si="40"/>
        <v>210.45073259140935</v>
      </c>
      <c r="D50" s="173">
        <f t="shared" si="41"/>
        <v>199.90839973232175</v>
      </c>
      <c r="E50" s="173">
        <f t="shared" si="42"/>
        <v>198.21032718173794</v>
      </c>
      <c r="F50" s="173">
        <f t="shared" si="49"/>
        <v>190.90943158210379</v>
      </c>
      <c r="G50" s="173">
        <f t="shared" si="48"/>
        <v>193.36784467077325</v>
      </c>
      <c r="H50" s="173">
        <f t="shared" si="43"/>
        <v>200.53117569963428</v>
      </c>
      <c r="I50" s="173">
        <f t="shared" si="44"/>
        <v>200.46301715911008</v>
      </c>
      <c r="J50" s="173">
        <f t="shared" si="45"/>
        <v>200.06809673292136</v>
      </c>
      <c r="K50" s="173">
        <f t="shared" si="46"/>
        <v>204.09893811819785</v>
      </c>
      <c r="L50" s="173">
        <f t="shared" si="47"/>
        <v>202.06651619278156</v>
      </c>
    </row>
    <row r="51" spans="1:12" x14ac:dyDescent="0.2">
      <c r="B51" t="s">
        <v>73</v>
      </c>
      <c r="C51" s="173">
        <f t="shared" si="40"/>
        <v>209.45090972348081</v>
      </c>
      <c r="D51" s="173">
        <f t="shared" si="41"/>
        <v>199.08590164314816</v>
      </c>
      <c r="E51" s="173">
        <f t="shared" si="42"/>
        <v>198.29487203648569</v>
      </c>
      <c r="F51" s="173">
        <f t="shared" si="49"/>
        <v>190.08798252239416</v>
      </c>
      <c r="G51" s="173">
        <f t="shared" si="48"/>
        <v>193.92148480348661</v>
      </c>
      <c r="H51" s="173">
        <f t="shared" si="43"/>
        <v>201.15151291254955</v>
      </c>
      <c r="I51" s="173">
        <f t="shared" si="44"/>
        <v>200.24916969613031</v>
      </c>
      <c r="J51" s="173">
        <f t="shared" si="45"/>
        <v>200.09544183655737</v>
      </c>
      <c r="K51" s="173">
        <f t="shared" si="46"/>
        <v>204.54247428785322</v>
      </c>
      <c r="L51" s="173">
        <f t="shared" si="47"/>
        <v>201.69594555317244</v>
      </c>
    </row>
    <row r="52" spans="1:12" x14ac:dyDescent="0.2">
      <c r="B52" t="s">
        <v>74</v>
      </c>
      <c r="C52" s="173">
        <f t="shared" si="40"/>
        <v>208.45583687830069</v>
      </c>
      <c r="D52" s="173">
        <f t="shared" si="41"/>
        <v>198.26678761941454</v>
      </c>
      <c r="E52" s="173">
        <f t="shared" si="42"/>
        <v>198.37945295309038</v>
      </c>
      <c r="F52" s="173">
        <f t="shared" si="49"/>
        <v>189.27006801072704</v>
      </c>
      <c r="G52" s="173">
        <f t="shared" si="48"/>
        <v>194.47671008804915</v>
      </c>
      <c r="H52" s="173">
        <f t="shared" si="43"/>
        <v>201.77376912013676</v>
      </c>
      <c r="I52" s="173">
        <f t="shared" si="44"/>
        <v>200.03555035870741</v>
      </c>
      <c r="J52" s="173">
        <f t="shared" si="45"/>
        <v>200.12279067769427</v>
      </c>
      <c r="K52" s="173">
        <f t="shared" si="46"/>
        <v>204.98697432501135</v>
      </c>
      <c r="L52" s="173">
        <f t="shared" si="47"/>
        <v>201.32605450462833</v>
      </c>
    </row>
    <row r="53" spans="1:12" x14ac:dyDescent="0.2">
      <c r="B53" t="s">
        <v>75</v>
      </c>
      <c r="C53" s="173">
        <f t="shared" si="40"/>
        <v>207.4654914891556</v>
      </c>
      <c r="D53" s="173">
        <f t="shared" si="41"/>
        <v>197.4510437378072</v>
      </c>
      <c r="E53" s="173">
        <f t="shared" si="42"/>
        <v>198.46406994693388</v>
      </c>
      <c r="F53" s="173">
        <f t="shared" si="49"/>
        <v>188.45567283857585</v>
      </c>
      <c r="G53" s="173">
        <f t="shared" si="48"/>
        <v>195.03352506298009</v>
      </c>
      <c r="H53" s="173">
        <f t="shared" si="43"/>
        <v>202.39795025874875</v>
      </c>
      <c r="I53" s="173">
        <f t="shared" si="44"/>
        <v>199.82215890348445</v>
      </c>
      <c r="J53" s="173">
        <f t="shared" si="45"/>
        <v>200.15014325684291</v>
      </c>
      <c r="K53" s="173">
        <f t="shared" si="46"/>
        <v>205.43244032429405</v>
      </c>
      <c r="L53" s="173">
        <f t="shared" si="47"/>
        <v>200.95684180084427</v>
      </c>
    </row>
    <row r="54" spans="1:12" x14ac:dyDescent="0.2">
      <c r="B54" t="s">
        <v>9</v>
      </c>
      <c r="C54" s="173">
        <f>AVERAGE(C42:C53)</f>
        <v>212.99999918317701</v>
      </c>
      <c r="D54" s="173">
        <f t="shared" ref="D54" si="50">AVERAGE(D42:D53)</f>
        <v>201.99999917716119</v>
      </c>
      <c r="E54" s="173">
        <f t="shared" ref="E54" si="51">AVERAGE(E42:E53)</f>
        <v>197.99933726277015</v>
      </c>
      <c r="F54" s="173">
        <f t="shared" ref="F54" si="52">AVERAGE(F42:F53)</f>
        <v>192.99999922121364</v>
      </c>
      <c r="G54" s="173">
        <f t="shared" ref="G54" si="53">AVERAGE(G42:G53)</f>
        <v>192.00000066270547</v>
      </c>
      <c r="H54" s="173">
        <f t="shared" ref="H54" si="54">AVERAGE(H42:H53)</f>
        <v>199.00000072789609</v>
      </c>
      <c r="I54" s="173">
        <f t="shared" ref="I54" si="55">AVERAGE(I42:I53)</f>
        <v>200.999999803191</v>
      </c>
      <c r="J54" s="173">
        <f t="shared" ref="J54" si="56">AVERAGE(J42:J53)</f>
        <v>199.99977258067324</v>
      </c>
      <c r="K54" s="173">
        <f t="shared" ref="K54" si="57">AVERAGE(K42:K53)</f>
        <v>203.00000052972231</v>
      </c>
      <c r="L54" s="173">
        <f t="shared" ref="L54" si="58">AVERAGE(L42:L53)</f>
        <v>202.99999955378772</v>
      </c>
    </row>
    <row r="55" spans="1:12" x14ac:dyDescent="0.2">
      <c r="C55" s="173" cm="1">
        <f t="array" ref="C55:L55">TRANSPOSE(Averages!H18:H27)</f>
        <v>212.625</v>
      </c>
      <c r="D55" s="173">
        <v>201.79166666666669</v>
      </c>
      <c r="E55" s="173">
        <v>197.83333333333331</v>
      </c>
      <c r="F55" s="173">
        <v>192.83333333333331</v>
      </c>
      <c r="G55" s="173">
        <v>192</v>
      </c>
      <c r="H55" s="173">
        <v>198.5</v>
      </c>
      <c r="I55" s="173">
        <v>200.5</v>
      </c>
      <c r="J55" s="173">
        <v>200</v>
      </c>
      <c r="K55" s="173">
        <v>202.5</v>
      </c>
      <c r="L55" s="173">
        <v>203</v>
      </c>
    </row>
    <row r="56" spans="1:12" x14ac:dyDescent="0.2">
      <c r="C56" s="173">
        <f>C54-C55</f>
        <v>0.37499918317701031</v>
      </c>
      <c r="D56" s="173">
        <f t="shared" ref="D56" si="59">D54-D55</f>
        <v>0.20833251049450041</v>
      </c>
      <c r="E56" s="173">
        <f t="shared" ref="E56" si="60">E54-E55</f>
        <v>0.16600392943684028</v>
      </c>
      <c r="F56" s="173">
        <f t="shared" ref="F56" si="61">F54-F55</f>
        <v>0.16666588788032755</v>
      </c>
      <c r="G56" s="173">
        <f t="shared" ref="G56" si="62">G54-G55</f>
        <v>6.6270547449676087E-7</v>
      </c>
      <c r="H56" s="173">
        <f t="shared" ref="H56" si="63">H54-H55</f>
        <v>0.50000072789609362</v>
      </c>
      <c r="I56" s="173">
        <f t="shared" ref="I56" si="64">I54-I55</f>
        <v>0.49999980319100246</v>
      </c>
      <c r="J56" s="173">
        <f t="shared" ref="J56" si="65">J54-J55</f>
        <v>-2.274193267624014E-4</v>
      </c>
      <c r="K56" s="173">
        <f t="shared" ref="K56" si="66">K54-K55</f>
        <v>0.50000052972231401</v>
      </c>
      <c r="L56" s="173">
        <f t="shared" ref="L56" si="67">L54-L55</f>
        <v>-4.4621228312280437E-7</v>
      </c>
    </row>
    <row r="59" spans="1:12" x14ac:dyDescent="0.2">
      <c r="A59" s="12" t="str">
        <f>Averages!I16</f>
        <v>Unmetered Scattered Load</v>
      </c>
      <c r="B59" s="12"/>
      <c r="C59" s="12">
        <v>2016</v>
      </c>
      <c r="D59" s="12">
        <v>2017</v>
      </c>
      <c r="E59" s="12">
        <v>2018</v>
      </c>
      <c r="F59" s="12">
        <v>2019</v>
      </c>
      <c r="G59" s="12">
        <v>2020</v>
      </c>
      <c r="H59" s="12">
        <v>2021</v>
      </c>
      <c r="I59" s="12">
        <v>2022</v>
      </c>
      <c r="J59" s="12">
        <v>2023</v>
      </c>
      <c r="K59" s="12">
        <v>2024</v>
      </c>
      <c r="L59" s="12">
        <v>2025</v>
      </c>
    </row>
    <row r="60" spans="1:12" x14ac:dyDescent="0.2">
      <c r="A60" s="173">
        <f>Averages!R3</f>
        <v>36.25</v>
      </c>
      <c r="C60">
        <v>-1.0639917240941026E-3</v>
      </c>
      <c r="D60">
        <v>2.7923371786298692E-2</v>
      </c>
      <c r="E60">
        <v>-2.5133194177147204E-3</v>
      </c>
      <c r="F60">
        <v>-4.2837678962042661E-3</v>
      </c>
      <c r="G60">
        <v>3.3840810539939435E-4</v>
      </c>
      <c r="H60">
        <v>-3.6708007725202345E-3</v>
      </c>
      <c r="I60">
        <v>-3.8763567442677812E-3</v>
      </c>
      <c r="J60">
        <v>-3.2147415214421745E-4</v>
      </c>
      <c r="K60">
        <v>2.7137209893131087E-4</v>
      </c>
      <c r="L60">
        <v>3.384165385397442E-3</v>
      </c>
    </row>
    <row r="61" spans="1:12" x14ac:dyDescent="0.2">
      <c r="B61" t="s">
        <v>65</v>
      </c>
      <c r="C61" s="173">
        <f>A60*(1+$C$60)</f>
        <v>36.211430300001588</v>
      </c>
      <c r="D61" s="173">
        <f>C72*(1+$D$60)</f>
        <v>36.789236151630753</v>
      </c>
      <c r="E61" s="173">
        <f>D72*(1+$E$60)</f>
        <v>49.681651434164174</v>
      </c>
      <c r="F61" s="173">
        <f>E72*(1+$F$60)</f>
        <v>48.118243830099573</v>
      </c>
      <c r="G61" s="173">
        <f>F72*(1+$G$60)</f>
        <v>45.914321376938105</v>
      </c>
      <c r="H61" s="173">
        <f>G72*(1+$H$60)</f>
        <v>45.916355644359996</v>
      </c>
      <c r="I61" s="173">
        <f>H72*(1+$I$60)</f>
        <v>43.925033414270388</v>
      </c>
      <c r="J61" s="173">
        <f>I72*(1+$J$60)</f>
        <v>42.074425541831346</v>
      </c>
      <c r="K61" s="173">
        <f>J72*(1+$K$60)</f>
        <v>41.937257733835089</v>
      </c>
      <c r="L61" s="173">
        <f>K72*(1+$L$60)</f>
        <v>42.204961194681083</v>
      </c>
    </row>
    <row r="62" spans="1:12" x14ac:dyDescent="0.2">
      <c r="B62" t="s">
        <v>66</v>
      </c>
      <c r="C62" s="173">
        <f>C61*(1+$C$60)</f>
        <v>36.172901637844774</v>
      </c>
      <c r="D62" s="173">
        <f>D61*(1+$D$60)</f>
        <v>37.816515670426682</v>
      </c>
      <c r="E62" s="173">
        <f>E61*(1+$E$60)</f>
        <v>49.556785574910556</v>
      </c>
      <c r="F62" s="173">
        <f>F61*(1+$F$60)</f>
        <v>47.912116441958467</v>
      </c>
      <c r="G62" s="173">
        <f>G61*(1+$G$60)</f>
        <v>45.929859155445975</v>
      </c>
      <c r="H62" s="173">
        <f>H61*(1+$H$60)</f>
        <v>45.747805850589366</v>
      </c>
      <c r="I62" s="173">
        <f>I61*(1+$I$60)</f>
        <v>43.754764314752791</v>
      </c>
      <c r="J62" s="173">
        <f>J61*(1+$J$60)</f>
        <v>42.060899701553332</v>
      </c>
      <c r="K62" s="173">
        <f>K61*(1+$K$60)</f>
        <v>41.948638335489747</v>
      </c>
      <c r="L62" s="173">
        <f>L61*(1+$L$60)</f>
        <v>42.347789763448162</v>
      </c>
    </row>
    <row r="63" spans="1:12" x14ac:dyDescent="0.2">
      <c r="B63" t="s">
        <v>67</v>
      </c>
      <c r="C63" s="173">
        <f t="shared" ref="C63:C72" si="68">C62*(1+$C$60)</f>
        <v>36.134413969865633</v>
      </c>
      <c r="D63" s="173">
        <f>D62*(1+$D$60)</f>
        <v>38.872480297154397</v>
      </c>
      <c r="E63" s="173">
        <f t="shared" ref="E63:E72" si="69">E62*(1+$E$60)</f>
        <v>49.432233543445612</v>
      </c>
      <c r="F63" s="173">
        <f t="shared" ref="F63:F72" si="70">F62*(1+$F$60)</f>
        <v>47.706872055705205</v>
      </c>
      <c r="G63" s="173">
        <f t="shared" ref="G63:G72" si="71">G62*(1+$G$60)</f>
        <v>45.94540219206403</v>
      </c>
      <c r="H63" s="173">
        <f t="shared" ref="H63:H72" si="72">H62*(1+$H$60)</f>
        <v>45.579874769531919</v>
      </c>
      <c r="I63" s="173">
        <f t="shared" ref="I63:I72" si="73">I62*(1+$I$60)</f>
        <v>43.585155239007449</v>
      </c>
      <c r="J63" s="173">
        <f t="shared" ref="J63:J72" si="74">J62*(1+$J$60)</f>
        <v>42.047378209483348</v>
      </c>
      <c r="K63" s="173">
        <f t="shared" ref="K63:K72" si="75">K62*(1+$K$60)</f>
        <v>41.960022025522164</v>
      </c>
      <c r="L63" s="173">
        <f t="shared" ref="L63:L72" si="76">L62*(1+$L$60)</f>
        <v>42.491101687713709</v>
      </c>
    </row>
    <row r="64" spans="1:12" x14ac:dyDescent="0.2">
      <c r="B64" t="s">
        <v>68</v>
      </c>
      <c r="C64" s="173">
        <f t="shared" si="68"/>
        <v>36.095967252446705</v>
      </c>
      <c r="D64" s="173">
        <f>D63*(1+$D$60)</f>
        <v>39.957931016747416</v>
      </c>
      <c r="E64" s="173">
        <f t="shared" si="69"/>
        <v>49.30799455101986</v>
      </c>
      <c r="F64" s="173">
        <f t="shared" si="70"/>
        <v>47.50250688876465</v>
      </c>
      <c r="G64" s="173">
        <f t="shared" si="71"/>
        <v>45.960950488571662</v>
      </c>
      <c r="H64" s="173">
        <f t="shared" si="72"/>
        <v>45.412560130016544</v>
      </c>
      <c r="I64" s="173">
        <f t="shared" si="73"/>
        <v>43.416203628546761</v>
      </c>
      <c r="J64" s="173">
        <f t="shared" si="74"/>
        <v>42.033861064223565</v>
      </c>
      <c r="K64" s="173">
        <f t="shared" si="75"/>
        <v>41.971408804770434</v>
      </c>
      <c r="L64" s="173">
        <f t="shared" si="76"/>
        <v>42.634898603232671</v>
      </c>
    </row>
    <row r="65" spans="1:12" x14ac:dyDescent="0.2">
      <c r="B65" t="s">
        <v>31</v>
      </c>
      <c r="C65" s="173">
        <f t="shared" si="68"/>
        <v>36.057561442016933</v>
      </c>
      <c r="D65" s="173">
        <f t="shared" ref="D65:D72" si="77">D64*(1+$D$60)</f>
        <v>41.073691180339331</v>
      </c>
      <c r="E65" s="173">
        <f t="shared" si="69"/>
        <v>49.18406781086621</v>
      </c>
      <c r="F65" s="173">
        <f t="shared" si="70"/>
        <v>47.299017174765339</v>
      </c>
      <c r="G65" s="173">
        <f t="shared" si="71"/>
        <v>45.976504046748857</v>
      </c>
      <c r="H65" s="173">
        <f t="shared" si="72"/>
        <v>45.24585966920916</v>
      </c>
      <c r="I65" s="173">
        <f t="shared" si="73"/>
        <v>43.247906934800739</v>
      </c>
      <c r="J65" s="173">
        <f t="shared" si="74"/>
        <v>42.020348264376594</v>
      </c>
      <c r="K65" s="173">
        <f t="shared" si="75"/>
        <v>41.982798674072889</v>
      </c>
      <c r="L65" s="173">
        <f t="shared" si="76"/>
        <v>42.779182151295657</v>
      </c>
    </row>
    <row r="66" spans="1:12" x14ac:dyDescent="0.2">
      <c r="B66" t="s">
        <v>69</v>
      </c>
      <c r="C66" s="173">
        <f t="shared" si="68"/>
        <v>36.019196495051609</v>
      </c>
      <c r="D66" s="173">
        <f t="shared" si="77"/>
        <v>42.220607129803568</v>
      </c>
      <c r="E66" s="173">
        <f t="shared" si="69"/>
        <v>49.060452538194966</v>
      </c>
      <c r="F66" s="173">
        <f t="shared" si="70"/>
        <v>47.096399163470068</v>
      </c>
      <c r="G66" s="173">
        <f t="shared" si="71"/>
        <v>45.992062868376209</v>
      </c>
      <c r="H66" s="173">
        <f t="shared" si="72"/>
        <v>45.079771132582081</v>
      </c>
      <c r="I66" s="173">
        <f t="shared" si="73"/>
        <v>43.08026261907856</v>
      </c>
      <c r="J66" s="173">
        <f t="shared" si="74"/>
        <v>42.0068398085455</v>
      </c>
      <c r="K66" s="173">
        <f t="shared" si="75"/>
        <v>41.994191634268084</v>
      </c>
      <c r="L66" s="173">
        <f>L65*(1+$L$60)</f>
        <v>42.923953978747683</v>
      </c>
    </row>
    <row r="67" spans="1:12" x14ac:dyDescent="0.2">
      <c r="B67" t="s">
        <v>70</v>
      </c>
      <c r="C67" s="173">
        <f t="shared" si="68"/>
        <v>35.980872368072355</v>
      </c>
      <c r="D67" s="173">
        <f t="shared" si="77"/>
        <v>43.399548839732333</v>
      </c>
      <c r="E67" s="173">
        <f t="shared" si="69"/>
        <v>48.937147950188852</v>
      </c>
      <c r="F67" s="173">
        <f t="shared" si="70"/>
        <v>46.894649120706774</v>
      </c>
      <c r="G67" s="173">
        <f t="shared" si="71"/>
        <v>46.007626955234905</v>
      </c>
      <c r="H67" s="173">
        <f t="shared" si="72"/>
        <v>44.914292273883561</v>
      </c>
      <c r="I67" s="173">
        <f t="shared" si="73"/>
        <v>42.913268152530264</v>
      </c>
      <c r="J67" s="173">
        <f t="shared" si="74"/>
        <v>41.993335695333791</v>
      </c>
      <c r="K67" s="173">
        <f t="shared" si="75"/>
        <v>42.005587686194801</v>
      </c>
      <c r="L67" s="173">
        <f t="shared" si="76"/>
        <v>43.069215738006953</v>
      </c>
    </row>
    <row r="68" spans="1:12" x14ac:dyDescent="0.2">
      <c r="B68" t="s">
        <v>71</v>
      </c>
      <c r="C68" s="173">
        <f t="shared" si="68"/>
        <v>35.942589017647038</v>
      </c>
      <c r="D68" s="173">
        <f t="shared" si="77"/>
        <v>44.611410577341807</v>
      </c>
      <c r="E68" s="173">
        <f t="shared" si="69"/>
        <v>48.814153265998065</v>
      </c>
      <c r="F68" s="173">
        <f t="shared" si="70"/>
        <v>46.693763328299731</v>
      </c>
      <c r="G68" s="173">
        <f t="shared" si="71"/>
        <v>46.023196309106751</v>
      </c>
      <c r="H68" s="173">
        <f t="shared" si="72"/>
        <v>44.749420855107388</v>
      </c>
      <c r="I68" s="173">
        <f t="shared" si="73"/>
        <v>42.746921016108629</v>
      </c>
      <c r="J68" s="173">
        <f t="shared" si="74"/>
        <v>41.979835923345426</v>
      </c>
      <c r="K68" s="173">
        <f t="shared" si="75"/>
        <v>42.016986830692048</v>
      </c>
      <c r="L68" s="173">
        <f t="shared" si="76"/>
        <v>43.21496908708373</v>
      </c>
    </row>
    <row r="69" spans="1:12" x14ac:dyDescent="0.2">
      <c r="B69" t="s">
        <v>72</v>
      </c>
      <c r="C69" s="173">
        <f t="shared" si="68"/>
        <v>35.904346400389748</v>
      </c>
      <c r="D69" s="173">
        <f t="shared" si="77"/>
        <v>45.857111580804144</v>
      </c>
      <c r="E69" s="173">
        <f t="shared" si="69"/>
        <v>48.691467706735331</v>
      </c>
      <c r="F69" s="173">
        <f t="shared" si="70"/>
        <v>46.493738084001002</v>
      </c>
      <c r="G69" s="173">
        <f t="shared" si="71"/>
        <v>46.038770931774145</v>
      </c>
      <c r="H69" s="173">
        <f t="shared" si="72"/>
        <v>44.585154646462627</v>
      </c>
      <c r="I69" s="173">
        <f t="shared" si="73"/>
        <v>42.581218700531153</v>
      </c>
      <c r="J69" s="173">
        <f t="shared" si="74"/>
        <v>41.966340491184816</v>
      </c>
      <c r="K69" s="173">
        <f t="shared" si="75"/>
        <v>42.028389068599061</v>
      </c>
      <c r="L69" s="173">
        <f t="shared" si="76"/>
        <v>43.361215689599263</v>
      </c>
    </row>
    <row r="70" spans="1:12" x14ac:dyDescent="0.2">
      <c r="B70" t="s">
        <v>73</v>
      </c>
      <c r="C70" s="173">
        <f t="shared" si="68"/>
        <v>35.866144472960727</v>
      </c>
      <c r="D70" s="173">
        <f t="shared" si="77"/>
        <v>47.137596756520729</v>
      </c>
      <c r="E70" s="173">
        <f t="shared" si="69"/>
        <v>48.569090495470967</v>
      </c>
      <c r="F70" s="173">
        <f t="shared" si="70"/>
        <v>46.294569701422233</v>
      </c>
      <c r="G70" s="173">
        <f t="shared" si="71"/>
        <v>46.054350825020087</v>
      </c>
      <c r="H70" s="173">
        <f t="shared" si="72"/>
        <v>44.421491426343458</v>
      </c>
      <c r="I70" s="173">
        <f t="shared" si="73"/>
        <v>42.416158706242207</v>
      </c>
      <c r="J70" s="173">
        <f t="shared" si="74"/>
        <v>41.952849397456816</v>
      </c>
      <c r="K70" s="173">
        <f t="shared" si="75"/>
        <v>42.039794400755312</v>
      </c>
      <c r="L70" s="173">
        <f t="shared" si="76"/>
        <v>43.507957214804755</v>
      </c>
    </row>
    <row r="71" spans="1:12" x14ac:dyDescent="0.2">
      <c r="B71" t="s">
        <v>74</v>
      </c>
      <c r="C71" s="173">
        <f t="shared" si="68"/>
        <v>35.827983192066334</v>
      </c>
      <c r="D71" s="173">
        <f t="shared" si="77"/>
        <v>48.45383739586569</v>
      </c>
      <c r="E71" s="173">
        <f t="shared" si="69"/>
        <v>48.447020857227955</v>
      </c>
      <c r="F71" s="173">
        <f t="shared" si="70"/>
        <v>46.096254509966691</v>
      </c>
      <c r="G71" s="173">
        <f t="shared" si="71"/>
        <v>46.069935990628181</v>
      </c>
      <c r="H71" s="173">
        <f t="shared" si="72"/>
        <v>44.258428981299133</v>
      </c>
      <c r="I71" s="173">
        <f t="shared" si="73"/>
        <v>42.251738543375332</v>
      </c>
      <c r="J71" s="173">
        <f t="shared" si="74"/>
        <v>41.939362640766731</v>
      </c>
      <c r="K71" s="173">
        <f t="shared" si="75"/>
        <v>42.051202828000491</v>
      </c>
      <c r="L71" s="173">
        <f t="shared" si="76"/>
        <v>43.655195337600446</v>
      </c>
    </row>
    <row r="72" spans="1:12" x14ac:dyDescent="0.2">
      <c r="B72" t="s">
        <v>75</v>
      </c>
      <c r="C72" s="173">
        <f t="shared" si="68"/>
        <v>35.789862514458996</v>
      </c>
      <c r="D72" s="173">
        <f t="shared" si="77"/>
        <v>49.806831911943313</v>
      </c>
      <c r="E72" s="173">
        <f t="shared" si="69"/>
        <v>48.325258018977053</v>
      </c>
      <c r="F72" s="173">
        <f t="shared" si="70"/>
        <v>45.898788854761634</v>
      </c>
      <c r="G72" s="173">
        <f t="shared" si="71"/>
        <v>46.085526430382643</v>
      </c>
      <c r="H72" s="173">
        <f t="shared" si="72"/>
        <v>44.095965106004044</v>
      </c>
      <c r="I72" s="173">
        <f t="shared" si="73"/>
        <v>42.087955731715681</v>
      </c>
      <c r="J72" s="173">
        <f t="shared" si="74"/>
        <v>41.92588021972032</v>
      </c>
      <c r="K72" s="173">
        <f t="shared" si="75"/>
        <v>42.062614351174517</v>
      </c>
      <c r="L72" s="173">
        <f t="shared" si="76"/>
        <v>43.802931738554719</v>
      </c>
    </row>
    <row r="73" spans="1:12" x14ac:dyDescent="0.2">
      <c r="B73" t="s">
        <v>9</v>
      </c>
      <c r="C73" s="173">
        <f>AVERAGE(C61:C72)</f>
        <v>36.000272421901862</v>
      </c>
      <c r="D73" s="173">
        <f t="shared" ref="D73" si="78">AVERAGE(D61:D72)</f>
        <v>42.999733209025841</v>
      </c>
      <c r="E73" s="173">
        <f t="shared" ref="E73" si="79">AVERAGE(E61:E72)</f>
        <v>49.000610312266637</v>
      </c>
      <c r="F73" s="173">
        <f t="shared" ref="F73" si="80">AVERAGE(F61:F72)</f>
        <v>47.000576596160109</v>
      </c>
      <c r="G73" s="173">
        <f t="shared" ref="G73" si="81">AVERAGE(G61:G72)</f>
        <v>45.999875630857623</v>
      </c>
      <c r="H73" s="173">
        <f t="shared" ref="H73" si="82">AVERAGE(H61:H72)</f>
        <v>45.000581707115771</v>
      </c>
      <c r="I73" s="173">
        <f t="shared" ref="I73" si="83">AVERAGE(I61:I72)</f>
        <v>43.000548916746652</v>
      </c>
      <c r="J73" s="173">
        <f t="shared" ref="J73" si="84">AVERAGE(J61:J72)</f>
        <v>42.000113079818469</v>
      </c>
      <c r="K73" s="173">
        <f t="shared" ref="K73" si="85">AVERAGE(K61:K72)</f>
        <v>41.999907697781225</v>
      </c>
      <c r="L73" s="173">
        <f t="shared" ref="L73" si="86">AVERAGE(L61:L72)</f>
        <v>42.999447682064066</v>
      </c>
    </row>
    <row r="74" spans="1:12" x14ac:dyDescent="0.2">
      <c r="C74" s="173" cm="1">
        <f t="array" ref="C74:L74">TRANSPOSE(Averages!J18:J27)</f>
        <v>36.083333333333329</v>
      </c>
      <c r="D74" s="173">
        <v>42.583333333333329</v>
      </c>
      <c r="E74" s="173">
        <v>48.666666666666671</v>
      </c>
      <c r="F74" s="173">
        <v>47.041666666666671</v>
      </c>
      <c r="G74" s="173">
        <v>46</v>
      </c>
      <c r="H74" s="173">
        <v>44.5</v>
      </c>
      <c r="I74" s="173">
        <v>42.5</v>
      </c>
      <c r="J74" s="173">
        <v>42</v>
      </c>
      <c r="K74" s="173">
        <v>42</v>
      </c>
      <c r="L74" s="173">
        <v>43</v>
      </c>
    </row>
    <row r="75" spans="1:12" x14ac:dyDescent="0.2">
      <c r="C75" s="173">
        <f>C73-C74</f>
        <v>-8.3060911431466877E-2</v>
      </c>
      <c r="D75" s="173">
        <f t="shared" ref="D75" si="87">D73-D74</f>
        <v>0.41639987569251247</v>
      </c>
      <c r="E75" s="173">
        <f t="shared" ref="E75" si="88">E73-E74</f>
        <v>0.33394364559996603</v>
      </c>
      <c r="F75" s="173">
        <f t="shared" ref="F75" si="89">F73-F74</f>
        <v>-4.1090070506562881E-2</v>
      </c>
      <c r="G75" s="173">
        <f t="shared" ref="G75" si="90">G73-G74</f>
        <v>-1.2436914237667906E-4</v>
      </c>
      <c r="H75" s="173">
        <f t="shared" ref="H75" si="91">H73-H74</f>
        <v>0.50058170711577077</v>
      </c>
      <c r="I75" s="173">
        <f t="shared" ref="I75" si="92">I73-I74</f>
        <v>0.50054891674665214</v>
      </c>
      <c r="J75" s="173">
        <f t="shared" ref="J75" si="93">J73-J74</f>
        <v>1.1307981846897519E-4</v>
      </c>
      <c r="K75" s="173">
        <f t="shared" ref="K75" si="94">K73-K74</f>
        <v>-9.2302218774875655E-5</v>
      </c>
      <c r="L75" s="173">
        <f t="shared" ref="L75" si="95">L73-L74</f>
        <v>-5.5231793593435441E-4</v>
      </c>
    </row>
    <row r="79" spans="1:12" x14ac:dyDescent="0.2">
      <c r="A79" s="12" t="str">
        <f>Averages!K16</f>
        <v>Sentinel Lighting</v>
      </c>
      <c r="B79" s="12"/>
      <c r="C79" s="12">
        <v>2016</v>
      </c>
      <c r="D79" s="12">
        <v>2017</v>
      </c>
      <c r="E79" s="12">
        <v>2018</v>
      </c>
      <c r="F79" s="12">
        <v>2019</v>
      </c>
      <c r="G79" s="12">
        <v>2020</v>
      </c>
      <c r="H79" s="12">
        <v>2021</v>
      </c>
      <c r="I79" s="12">
        <v>2022</v>
      </c>
      <c r="J79" s="12">
        <v>2023</v>
      </c>
      <c r="K79" s="12">
        <v>2024</v>
      </c>
      <c r="L79" s="12">
        <v>2025</v>
      </c>
    </row>
    <row r="80" spans="1:12" x14ac:dyDescent="0.2">
      <c r="A80" s="173">
        <f>Averages!X3</f>
        <v>760.75</v>
      </c>
      <c r="C80">
        <v>-2.8093949334141387E-3</v>
      </c>
      <c r="D80">
        <v>-3.4948448500672709E-3</v>
      </c>
      <c r="E80">
        <v>-7.0780126647001021E-4</v>
      </c>
      <c r="F80">
        <v>-6.13551937968308E-3</v>
      </c>
      <c r="G80">
        <v>-1.7851864281201158E-3</v>
      </c>
      <c r="H80">
        <v>7.9395869778980672E-4</v>
      </c>
      <c r="I80">
        <v>-1.3957544849093498E-3</v>
      </c>
      <c r="J80">
        <v>-1.009411181040684E-3</v>
      </c>
      <c r="K80">
        <v>1.1753197024263275E-4</v>
      </c>
      <c r="L80">
        <v>-1.5868500287977928E-3</v>
      </c>
    </row>
    <row r="81" spans="2:12" x14ac:dyDescent="0.2">
      <c r="B81" t="s">
        <v>65</v>
      </c>
      <c r="C81" s="173">
        <f>A80*(1+$C$80)</f>
        <v>758.6127528044052</v>
      </c>
      <c r="D81" s="173">
        <f>C92*(1+$D$80)</f>
        <v>732.92519128803076</v>
      </c>
      <c r="E81" s="173">
        <f>D92*(1+$E$80)</f>
        <v>704.73719451867589</v>
      </c>
      <c r="F81" s="173">
        <f>E92*(1+$F$80)</f>
        <v>694.97923673807725</v>
      </c>
      <c r="G81" s="173">
        <f>F92*(1+$G$80)</f>
        <v>648.32789480916722</v>
      </c>
      <c r="H81" s="173">
        <f>G92*(1+$H$80)</f>
        <v>636.2144061158973</v>
      </c>
      <c r="I81" s="173">
        <f>H92*(1+$I$80)</f>
        <v>640.89713875209884</v>
      </c>
      <c r="J81" s="173">
        <f>I92*(1+$J$80)</f>
        <v>630.48857144693932</v>
      </c>
      <c r="K81" s="173">
        <f>J92*(1+$K$80)</f>
        <v>623.59643686629829</v>
      </c>
      <c r="L81" s="173">
        <f>K92*(1+$L$80)</f>
        <v>623.41229438917571</v>
      </c>
    </row>
    <row r="82" spans="2:12" x14ac:dyDescent="0.2">
      <c r="B82" t="s">
        <v>66</v>
      </c>
      <c r="C82" s="173">
        <f>C81*(1+$C$80)</f>
        <v>756.48150998025312</v>
      </c>
      <c r="D82" s="173">
        <f>D81*(1+$D$80)</f>
        <v>730.36373145777327</v>
      </c>
      <c r="E82" s="173">
        <f>E81*(1+$E$80)</f>
        <v>704.23838063986705</v>
      </c>
      <c r="F82" s="173">
        <f>F81*(1+$F$80)</f>
        <v>690.71517816259347</v>
      </c>
      <c r="G82" s="173">
        <f>G81*(1+$G$80)</f>
        <v>647.1705086503822</v>
      </c>
      <c r="H82" s="173">
        <f>H81*(1+$H$80)</f>
        <v>636.71953407729222</v>
      </c>
      <c r="I82" s="173">
        <f>I81*(1+$I$80)</f>
        <v>640.00260369631997</v>
      </c>
      <c r="J82" s="173">
        <f>J81*(1+$J$80)</f>
        <v>629.85214923340243</v>
      </c>
      <c r="K82" s="173">
        <f>K81*(1+$K$80)</f>
        <v>623.6697293841595</v>
      </c>
      <c r="L82" s="173">
        <f>L81*(1+$L$80)</f>
        <v>622.42303257187132</v>
      </c>
    </row>
    <row r="83" spans="2:12" x14ac:dyDescent="0.2">
      <c r="B83" t="s">
        <v>67</v>
      </c>
      <c r="C83" s="173">
        <f>C82*(1+$C$80)</f>
        <v>754.35625465889314</v>
      </c>
      <c r="D83" s="173">
        <f>D82*(1+$D$80)</f>
        <v>727.81122353221213</v>
      </c>
      <c r="E83" s="173">
        <f>E82*(1+$E$80)</f>
        <v>703.73991982215341</v>
      </c>
      <c r="F83" s="173">
        <f t="shared" ref="F83:F92" si="96">F82*(1+$F$80)</f>
        <v>686.47728180113563</v>
      </c>
      <c r="G83" s="173">
        <f t="shared" ref="G83:G92" si="97">G82*(1+$G$80)</f>
        <v>646.01518864165996</v>
      </c>
      <c r="H83" s="173">
        <f t="shared" ref="H83:H92" si="98">H82*(1+$H$80)</f>
        <v>637.22506308942559</v>
      </c>
      <c r="I83" s="173">
        <f t="shared" ref="I83:I92" si="99">I82*(1+$I$80)</f>
        <v>639.10931719185714</v>
      </c>
      <c r="J83" s="173">
        <f t="shared" ref="J83:J92" si="100">J82*(1+$J$80)</f>
        <v>629.21636943156375</v>
      </c>
      <c r="K83" s="173">
        <f t="shared" ref="K83:K92" si="101">K82*(1+$K$80)</f>
        <v>623.74303051623474</v>
      </c>
      <c r="L83" s="173">
        <f t="shared" ref="L83:L92" si="102">L82*(1+$L$80)</f>
        <v>621.43534056471026</v>
      </c>
    </row>
    <row r="84" spans="2:12" x14ac:dyDescent="0.2">
      <c r="B84" t="s">
        <v>68</v>
      </c>
      <c r="C84" s="173">
        <f t="shared" ref="C84:C92" si="103">C83*(1+$C$80)</f>
        <v>752.23697001906521</v>
      </c>
      <c r="D84" s="173">
        <f t="shared" ref="D84:D92" si="104">D83*(1+$D$80)</f>
        <v>725.26763622582939</v>
      </c>
      <c r="E84" s="173">
        <f t="shared" ref="E84:E92" si="105">E83*(1+$E$80)</f>
        <v>703.24181181563779</v>
      </c>
      <c r="F84" s="173">
        <f t="shared" si="96"/>
        <v>682.26538713493267</v>
      </c>
      <c r="G84" s="173">
        <f t="shared" si="97"/>
        <v>644.86193109453745</v>
      </c>
      <c r="H84" s="173">
        <f t="shared" si="98"/>
        <v>637.73099347071513</v>
      </c>
      <c r="I84" s="173">
        <f t="shared" si="99"/>
        <v>638.21727749603929</v>
      </c>
      <c r="J84" s="173">
        <f t="shared" si="100"/>
        <v>628.58123139296572</v>
      </c>
      <c r="K84" s="173">
        <f t="shared" si="101"/>
        <v>623.8163402635364</v>
      </c>
      <c r="L84" s="173">
        <f t="shared" si="102"/>
        <v>620.44921587663919</v>
      </c>
    </row>
    <row r="85" spans="2:12" x14ac:dyDescent="0.2">
      <c r="B85" t="s">
        <v>31</v>
      </c>
      <c r="C85" s="173">
        <f t="shared" si="103"/>
        <v>750.12363928676689</v>
      </c>
      <c r="D85" s="173">
        <f t="shared" si="104"/>
        <v>722.73293836244511</v>
      </c>
      <c r="E85" s="173">
        <f t="shared" si="105"/>
        <v>702.74405637059999</v>
      </c>
      <c r="F85" s="173">
        <f t="shared" si="96"/>
        <v>678.0793346300793</v>
      </c>
      <c r="G85" s="173">
        <f t="shared" si="97"/>
        <v>643.71073232713616</v>
      </c>
      <c r="H85" s="173">
        <f t="shared" si="98"/>
        <v>638.23732553983143</v>
      </c>
      <c r="I85" s="173">
        <f t="shared" si="99"/>
        <v>637.32648286862752</v>
      </c>
      <c r="J85" s="173">
        <f t="shared" si="100"/>
        <v>627.94673446980528</v>
      </c>
      <c r="K85" s="173">
        <f t="shared" si="101"/>
        <v>623.8896586270771</v>
      </c>
      <c r="L85" s="173">
        <f t="shared" si="102"/>
        <v>619.46465602055775</v>
      </c>
    </row>
    <row r="86" spans="2:12" x14ac:dyDescent="0.2">
      <c r="B86" t="s">
        <v>69</v>
      </c>
      <c r="C86" s="173">
        <f t="shared" si="103"/>
        <v>748.01624573512049</v>
      </c>
      <c r="D86" s="173">
        <f t="shared" si="104"/>
        <v>720.2070988748352</v>
      </c>
      <c r="E86" s="173">
        <f t="shared" si="105"/>
        <v>702.24665323749662</v>
      </c>
      <c r="F86" s="173">
        <f t="shared" si="96"/>
        <v>673.91896573149381</v>
      </c>
      <c r="G86" s="173">
        <f t="shared" si="97"/>
        <v>642.56158866415046</v>
      </c>
      <c r="H86" s="173">
        <f t="shared" si="98"/>
        <v>638.74405961569789</v>
      </c>
      <c r="I86" s="173">
        <f t="shared" si="99"/>
        <v>636.43693157181212</v>
      </c>
      <c r="J86" s="173">
        <f t="shared" si="100"/>
        <v>627.31287801493352</v>
      </c>
      <c r="K86" s="173">
        <f t="shared" si="101"/>
        <v>623.96298560786954</v>
      </c>
      <c r="L86" s="173">
        <f t="shared" si="102"/>
        <v>618.48165851331237</v>
      </c>
    </row>
    <row r="87" spans="2:12" x14ac:dyDescent="0.2">
      <c r="B87" t="s">
        <v>70</v>
      </c>
      <c r="C87" s="173">
        <f t="shared" si="103"/>
        <v>745.9147726842408</v>
      </c>
      <c r="D87" s="173">
        <f t="shared" si="104"/>
        <v>717.69008680435059</v>
      </c>
      <c r="E87" s="173">
        <f t="shared" si="105"/>
        <v>701.74960216696081</v>
      </c>
      <c r="F87" s="173">
        <f t="shared" si="96"/>
        <v>669.78412285691229</v>
      </c>
      <c r="G87" s="173">
        <f t="shared" si="97"/>
        <v>641.41449643683598</v>
      </c>
      <c r="H87" s="173">
        <f t="shared" si="98"/>
        <v>639.25119601749134</v>
      </c>
      <c r="I87" s="173">
        <f t="shared" si="99"/>
        <v>635.54862187020876</v>
      </c>
      <c r="J87" s="173">
        <f t="shared" si="100"/>
        <v>626.67966138185443</v>
      </c>
      <c r="K87" s="173">
        <f t="shared" si="101"/>
        <v>624.03632120692657</v>
      </c>
      <c r="L87" s="173">
        <f t="shared" si="102"/>
        <v>617.50022087568959</v>
      </c>
    </row>
    <row r="88" spans="2:12" x14ac:dyDescent="0.2">
      <c r="B88" t="s">
        <v>71</v>
      </c>
      <c r="C88" s="173">
        <f t="shared" si="103"/>
        <v>743.81920350110295</v>
      </c>
      <c r="D88" s="173">
        <f t="shared" si="104"/>
        <v>715.18187130053809</v>
      </c>
      <c r="E88" s="173">
        <f t="shared" si="105"/>
        <v>701.25290290980229</v>
      </c>
      <c r="F88" s="173">
        <f t="shared" si="96"/>
        <v>665.67464939091974</v>
      </c>
      <c r="G88" s="173">
        <f t="shared" si="97"/>
        <v>640.26945198299745</v>
      </c>
      <c r="H88" s="173">
        <f t="shared" si="98"/>
        <v>639.758735064642</v>
      </c>
      <c r="I88" s="173">
        <f t="shared" si="99"/>
        <v>634.66155203085543</v>
      </c>
      <c r="J88" s="173">
        <f t="shared" si="100"/>
        <v>626.0470839247248</v>
      </c>
      <c r="K88" s="173">
        <f t="shared" si="101"/>
        <v>624.10966542526103</v>
      </c>
      <c r="L88" s="173">
        <f t="shared" si="102"/>
        <v>616.52034063241035</v>
      </c>
    </row>
    <row r="89" spans="2:12" x14ac:dyDescent="0.2">
      <c r="B89" t="s">
        <v>72</v>
      </c>
      <c r="C89" s="173">
        <f t="shared" si="103"/>
        <v>741.72952159941076</v>
      </c>
      <c r="D89" s="173">
        <f t="shared" si="104"/>
        <v>712.68242162076194</v>
      </c>
      <c r="E89" s="173">
        <f t="shared" si="105"/>
        <v>700.75655521700696</v>
      </c>
      <c r="F89" s="173">
        <f t="shared" si="96"/>
        <v>661.59038967901802</v>
      </c>
      <c r="G89" s="173">
        <f t="shared" si="97"/>
        <v>639.12645164697756</v>
      </c>
      <c r="H89" s="173">
        <f t="shared" si="98"/>
        <v>640.26667707683362</v>
      </c>
      <c r="I89" s="173">
        <f t="shared" si="99"/>
        <v>633.77572032320882</v>
      </c>
      <c r="J89" s="173">
        <f t="shared" si="100"/>
        <v>625.4151449983533</v>
      </c>
      <c r="K89" s="173">
        <f t="shared" si="101"/>
        <v>624.18301826388597</v>
      </c>
      <c r="L89" s="173">
        <f t="shared" si="102"/>
        <v>615.54201531212345</v>
      </c>
    </row>
    <row r="90" spans="2:12" x14ac:dyDescent="0.2">
      <c r="B90" t="s">
        <v>73</v>
      </c>
      <c r="C90" s="173">
        <f t="shared" si="103"/>
        <v>739.64571043946569</v>
      </c>
      <c r="D90" s="173">
        <f t="shared" si="104"/>
        <v>710.19170712982714</v>
      </c>
      <c r="E90" s="173">
        <f t="shared" si="105"/>
        <v>700.2605588397372</v>
      </c>
      <c r="F90" s="173">
        <f t="shared" si="96"/>
        <v>657.53118902173037</v>
      </c>
      <c r="G90" s="173">
        <f t="shared" si="97"/>
        <v>637.9854917796448</v>
      </c>
      <c r="H90" s="173">
        <f t="shared" si="98"/>
        <v>640.77502237400381</v>
      </c>
      <c r="I90" s="173">
        <f t="shared" si="99"/>
        <v>632.89112501914099</v>
      </c>
      <c r="J90" s="173">
        <f t="shared" si="100"/>
        <v>624.78384395819978</v>
      </c>
      <c r="K90" s="173">
        <f t="shared" si="101"/>
        <v>624.25637972381458</v>
      </c>
      <c r="L90" s="173">
        <f t="shared" si="102"/>
        <v>614.56524244739921</v>
      </c>
    </row>
    <row r="91" spans="2:12" x14ac:dyDescent="0.2">
      <c r="B91" t="s">
        <v>74</v>
      </c>
      <c r="C91" s="173">
        <f t="shared" si="103"/>
        <v>737.5677535280355</v>
      </c>
      <c r="D91" s="173">
        <f t="shared" si="104"/>
        <v>707.70969729960404</v>
      </c>
      <c r="E91" s="173">
        <f t="shared" si="105"/>
        <v>699.76491352933147</v>
      </c>
      <c r="F91" s="173">
        <f t="shared" si="96"/>
        <v>653.49689366874156</v>
      </c>
      <c r="G91" s="173">
        <f t="shared" si="97"/>
        <v>636.8465687383823</v>
      </c>
      <c r="H91" s="173">
        <f t="shared" si="98"/>
        <v>641.28377127634417</v>
      </c>
      <c r="I91" s="173">
        <f t="shared" si="99"/>
        <v>632.00776439293622</v>
      </c>
      <c r="J91" s="173">
        <f t="shared" si="100"/>
        <v>624.15318016037475</v>
      </c>
      <c r="K91" s="173">
        <f t="shared" si="101"/>
        <v>624.32974980606002</v>
      </c>
      <c r="L91" s="173">
        <f t="shared" si="102"/>
        <v>613.59001957472344</v>
      </c>
    </row>
    <row r="92" spans="2:12" x14ac:dyDescent="0.2">
      <c r="B92" t="s">
        <v>75</v>
      </c>
      <c r="C92" s="173">
        <f t="shared" si="103"/>
        <v>735.4956344182242</v>
      </c>
      <c r="D92" s="173">
        <f t="shared" si="104"/>
        <v>705.23636170865393</v>
      </c>
      <c r="E92" s="173">
        <f t="shared" si="105"/>
        <v>699.26961903730421</v>
      </c>
      <c r="F92" s="173">
        <f t="shared" si="96"/>
        <v>649.48735081307439</v>
      </c>
      <c r="G92" s="173">
        <f t="shared" si="97"/>
        <v>635.70967888707571</v>
      </c>
      <c r="H92" s="173">
        <f t="shared" si="98"/>
        <v>641.79292410430048</v>
      </c>
      <c r="I92" s="173">
        <f t="shared" si="99"/>
        <v>631.12563672128726</v>
      </c>
      <c r="J92" s="173">
        <f t="shared" si="100"/>
        <v>623.52315296163874</v>
      </c>
      <c r="K92" s="173">
        <f t="shared" si="101"/>
        <v>624.40312851163583</v>
      </c>
      <c r="L92" s="173">
        <f t="shared" si="102"/>
        <v>612.61634423449129</v>
      </c>
    </row>
    <row r="93" spans="2:12" x14ac:dyDescent="0.2">
      <c r="B93" t="s">
        <v>9</v>
      </c>
      <c r="C93" s="173">
        <f>AVERAGE(C81:C92)</f>
        <v>746.9999973879153</v>
      </c>
      <c r="D93" s="173">
        <f t="shared" ref="D93" si="106">AVERAGE(D81:D92)</f>
        <v>718.99999713373836</v>
      </c>
      <c r="E93" s="173">
        <f t="shared" ref="E93" si="107">AVERAGE(E81:E92)</f>
        <v>702.00018067538122</v>
      </c>
      <c r="F93" s="173">
        <f t="shared" ref="F93" si="108">AVERAGE(F81:F92)</f>
        <v>671.99999830239233</v>
      </c>
      <c r="G93" s="173">
        <f t="shared" ref="G93" si="109">AVERAGE(G81:G92)</f>
        <v>641.99999863824553</v>
      </c>
      <c r="H93" s="173">
        <f t="shared" ref="H93" si="110">AVERAGE(H81:H92)</f>
        <v>638.99997565187289</v>
      </c>
      <c r="I93" s="173">
        <f t="shared" ref="I93" si="111">AVERAGE(I81:I92)</f>
        <v>636.00001432786598</v>
      </c>
      <c r="J93" s="173">
        <f t="shared" ref="J93" si="112">AVERAGE(J81:J92)</f>
        <v>627.00000011456291</v>
      </c>
      <c r="K93" s="173">
        <f t="shared" ref="K93" si="113">AVERAGE(K81:K92)</f>
        <v>623.99970368356333</v>
      </c>
      <c r="L93" s="173">
        <f t="shared" ref="L93" si="114">AVERAGE(L81:L92)</f>
        <v>618.00003175109202</v>
      </c>
    </row>
    <row r="94" spans="2:12" x14ac:dyDescent="0.2">
      <c r="C94" s="173" cm="1">
        <f t="array" ref="C94:L94">TRANSPOSE(Averages!M18:M27)</f>
        <v>746.625</v>
      </c>
      <c r="D94" s="173">
        <v>719.08333333333326</v>
      </c>
      <c r="E94" s="173">
        <v>701.95833333333326</v>
      </c>
      <c r="F94" s="173">
        <v>672.125</v>
      </c>
      <c r="G94" s="173">
        <v>642</v>
      </c>
      <c r="H94" s="173">
        <v>638.5</v>
      </c>
      <c r="I94" s="173">
        <v>636</v>
      </c>
      <c r="J94" s="173">
        <v>626.5</v>
      </c>
      <c r="K94" s="173">
        <v>624</v>
      </c>
      <c r="L94" s="173">
        <v>618</v>
      </c>
    </row>
    <row r="95" spans="2:12" x14ac:dyDescent="0.2">
      <c r="C95" s="173">
        <f>C93-C94</f>
        <v>0.37499738791530035</v>
      </c>
      <c r="D95" s="173">
        <f t="shared" ref="D95" si="115">D93-D94</f>
        <v>-8.3336199594896243E-2</v>
      </c>
      <c r="E95" s="173">
        <f t="shared" ref="E95" si="116">E93-E94</f>
        <v>4.1847342047958591E-2</v>
      </c>
      <c r="F95" s="173">
        <f t="shared" ref="F95" si="117">F93-F94</f>
        <v>-0.12500169760767221</v>
      </c>
      <c r="G95" s="173">
        <f t="shared" ref="G95" si="118">G93-G94</f>
        <v>-1.3617544709632057E-6</v>
      </c>
      <c r="H95" s="173">
        <f t="shared" ref="H95" si="119">H93-H94</f>
        <v>0.49997565187288728</v>
      </c>
      <c r="I95" s="173">
        <f t="shared" ref="I95" si="120">I93-I94</f>
        <v>1.4327865983432275E-5</v>
      </c>
      <c r="J95" s="173">
        <f t="shared" ref="J95" si="121">J93-J94</f>
        <v>0.50000011456290849</v>
      </c>
      <c r="K95" s="173">
        <f t="shared" ref="K95" si="122">K93-K94</f>
        <v>-2.9631643667471508E-4</v>
      </c>
      <c r="L95" s="173">
        <f t="shared" ref="L95" si="123">L93-L94</f>
        <v>3.1751092024023819E-5</v>
      </c>
    </row>
    <row r="99" spans="1:12" x14ac:dyDescent="0.2">
      <c r="A99" s="12" t="str">
        <f>Averages!N16</f>
        <v xml:space="preserve">Street Lighting </v>
      </c>
      <c r="B99" s="12"/>
      <c r="C99" s="12">
        <v>2016</v>
      </c>
      <c r="D99" s="12">
        <v>2017</v>
      </c>
      <c r="E99" s="12">
        <v>2018</v>
      </c>
      <c r="F99" s="12">
        <v>2019</v>
      </c>
      <c r="G99" s="12">
        <v>2020</v>
      </c>
      <c r="H99" s="12">
        <v>2021</v>
      </c>
      <c r="I99" s="12">
        <v>2022</v>
      </c>
      <c r="J99" s="12">
        <v>2023</v>
      </c>
      <c r="K99" s="12">
        <v>2024</v>
      </c>
      <c r="L99" s="12">
        <v>2025</v>
      </c>
    </row>
    <row r="100" spans="1:12" x14ac:dyDescent="0.2">
      <c r="A100" s="173">
        <f>Averages!AD3</f>
        <v>5699.583333333333</v>
      </c>
      <c r="C100">
        <v>4.962084611143902E-4</v>
      </c>
      <c r="D100">
        <v>1.4443464961501711E-4</v>
      </c>
      <c r="E100">
        <v>4.1295369706819372E-4</v>
      </c>
      <c r="F100">
        <v>2.3756924584345728E-3</v>
      </c>
      <c r="G100">
        <v>1.0115674148366972E-3</v>
      </c>
      <c r="H100">
        <v>-5.883794195844336E-5</v>
      </c>
      <c r="I100">
        <v>1.7773731476762575E-4</v>
      </c>
      <c r="J100">
        <v>8.9459202645414198E-4</v>
      </c>
      <c r="K100">
        <v>1.538061854896387E-3</v>
      </c>
      <c r="L100">
        <v>-1.0736309332722549E-3</v>
      </c>
    </row>
    <row r="101" spans="1:12" x14ac:dyDescent="0.2">
      <c r="B101" t="s">
        <v>65</v>
      </c>
      <c r="C101" s="173">
        <f>A100*(1+$C$100)</f>
        <v>5702.4115148081601</v>
      </c>
      <c r="D101" s="173">
        <f>C112*(1+$D$100)</f>
        <v>5734.4424192328916</v>
      </c>
      <c r="E101" s="173">
        <f>D112*(1+$E$100)</f>
        <v>5745.9315998827569</v>
      </c>
      <c r="F101" s="173">
        <f>E112*(1+$F$100)</f>
        <v>5785.7991016950145</v>
      </c>
      <c r="G101" s="173">
        <f>F112*(1+$G$100)</f>
        <v>5944.8135384311427</v>
      </c>
      <c r="H101" s="173">
        <f>G112*(1+$H$100)</f>
        <v>6010.9448124425717</v>
      </c>
      <c r="I101" s="173">
        <f>H112*(1+$I$100)</f>
        <v>6008.1232468372291</v>
      </c>
      <c r="J101" s="173">
        <f>I112*(1+$J$100)</f>
        <v>6025.2655728807904</v>
      </c>
      <c r="K101" s="173">
        <f>J112*(1+$K$100)</f>
        <v>6094.1820297053255</v>
      </c>
      <c r="L101" s="173">
        <f>K112*(1+$L$100)</f>
        <v>6191.4296761886499</v>
      </c>
    </row>
    <row r="102" spans="1:12" x14ac:dyDescent="0.2">
      <c r="B102" t="s">
        <v>66</v>
      </c>
      <c r="C102" s="173">
        <f>C101*(1+$C$100)</f>
        <v>5705.2410996505641</v>
      </c>
      <c r="D102" s="173">
        <f>D101*(1+$D$100)</f>
        <v>5735.2706714144515</v>
      </c>
      <c r="E102" s="173">
        <f>E101*(1+$E$100)</f>
        <v>5748.3044035800303</v>
      </c>
      <c r="F102" s="173">
        <f>F101*(1+$F$100)</f>
        <v>5799.5443809869294</v>
      </c>
      <c r="G102" s="173">
        <f>G101*(1+$G$100)</f>
        <v>5950.8271180939</v>
      </c>
      <c r="H102" s="173">
        <f>H101*(1+$H$100)</f>
        <v>6010.5911408205811</v>
      </c>
      <c r="I102" s="173">
        <f>I101*(1+$I$100)</f>
        <v>6009.1911145299146</v>
      </c>
      <c r="J102" s="173">
        <f>J101*(1+$J$100)</f>
        <v>6030.6557274195575</v>
      </c>
      <c r="K102" s="173">
        <f>K101*(1+$K$100)</f>
        <v>6103.5552586220101</v>
      </c>
      <c r="L102" s="173">
        <f>L101*(1+$L$100)</f>
        <v>6184.7823657671133</v>
      </c>
    </row>
    <row r="103" spans="1:12" x14ac:dyDescent="0.2">
      <c r="B103" t="s">
        <v>67</v>
      </c>
      <c r="C103" s="173">
        <f t="shared" ref="C103:C112" si="124">C102*(1+$C$100)</f>
        <v>5708.0720885569081</v>
      </c>
      <c r="D103" s="173">
        <f t="shared" ref="D103:D112" si="125">D102*(1+$D$100)</f>
        <v>5736.0990432243252</v>
      </c>
      <c r="E103" s="173">
        <f t="shared" ref="E103:E112" si="126">E102*(1+$E$100)</f>
        <v>5750.6781871353624</v>
      </c>
      <c r="F103" s="173">
        <f t="shared" ref="F103:F112" si="127">F102*(1+$F$100)</f>
        <v>5813.3223148351972</v>
      </c>
      <c r="G103" s="173">
        <f t="shared" ref="G103:G112" si="128">G102*(1+$G$100)</f>
        <v>5956.8467808978912</v>
      </c>
      <c r="H103" s="173">
        <f t="shared" ref="H103:H112" si="129">H102*(1+$H$100)</f>
        <v>6010.2374900079012</v>
      </c>
      <c r="I103" s="173">
        <f t="shared" ref="I103:I112" si="130">I102*(1+$I$100)</f>
        <v>6010.2591720225364</v>
      </c>
      <c r="J103" s="173">
        <f t="shared" ref="J103:J111" si="131">J102*(1+$J$100)</f>
        <v>6036.050703947596</v>
      </c>
      <c r="K103" s="173">
        <f t="shared" ref="K103:K112" si="132">K102*(1+$K$100)</f>
        <v>6112.9429041445483</v>
      </c>
      <c r="L103" s="173">
        <f t="shared" ref="L103:L112" si="133">L102*(1+$L$100)</f>
        <v>6178.142192103669</v>
      </c>
    </row>
    <row r="104" spans="1:12" x14ac:dyDescent="0.2">
      <c r="B104" t="s">
        <v>68</v>
      </c>
      <c r="C104" s="173">
        <f t="shared" si="124"/>
        <v>5710.9044822239011</v>
      </c>
      <c r="D104" s="173">
        <f t="shared" si="125"/>
        <v>5736.9275346797913</v>
      </c>
      <c r="E104" s="173">
        <f t="shared" si="126"/>
        <v>5753.0529509533899</v>
      </c>
      <c r="F104" s="173">
        <f t="shared" si="127"/>
        <v>5827.1329808170012</v>
      </c>
      <c r="G104" s="173">
        <f t="shared" si="128"/>
        <v>5962.8725329966228</v>
      </c>
      <c r="H104" s="173">
        <f t="shared" si="129"/>
        <v>6009.8838600033077</v>
      </c>
      <c r="I104" s="173">
        <f t="shared" si="130"/>
        <v>6011.3274193488287</v>
      </c>
      <c r="J104" s="173">
        <f t="shared" si="131"/>
        <v>6041.4505067786195</v>
      </c>
      <c r="K104" s="173">
        <f t="shared" si="132"/>
        <v>6122.3449884465726</v>
      </c>
      <c r="L104" s="173">
        <f t="shared" si="133"/>
        <v>6171.5091475360723</v>
      </c>
    </row>
    <row r="105" spans="1:12" x14ac:dyDescent="0.2">
      <c r="B105" t="s">
        <v>31</v>
      </c>
      <c r="C105" s="173">
        <f t="shared" si="124"/>
        <v>5713.7382813485965</v>
      </c>
      <c r="D105" s="173">
        <f t="shared" si="125"/>
        <v>5737.7561457981301</v>
      </c>
      <c r="E105" s="173">
        <f t="shared" si="126"/>
        <v>5755.4286954389154</v>
      </c>
      <c r="F105" s="173">
        <f t="shared" si="127"/>
        <v>5840.9764566938238</v>
      </c>
      <c r="G105" s="173">
        <f t="shared" si="128"/>
        <v>5968.9043805498277</v>
      </c>
      <c r="H105" s="173">
        <f t="shared" si="129"/>
        <v>6009.5302508055756</v>
      </c>
      <c r="I105" s="173">
        <f t="shared" si="130"/>
        <v>6012.3958565425328</v>
      </c>
      <c r="J105" s="173">
        <f t="shared" si="131"/>
        <v>6046.8551402302</v>
      </c>
      <c r="K105" s="173">
        <f t="shared" si="132"/>
        <v>6131.7615337358184</v>
      </c>
      <c r="L105" s="173">
        <f t="shared" si="133"/>
        <v>6164.883224410305</v>
      </c>
    </row>
    <row r="106" spans="1:12" x14ac:dyDescent="0.2">
      <c r="B106" t="s">
        <v>69</v>
      </c>
      <c r="C106" s="173">
        <f t="shared" si="124"/>
        <v>5716.5734866283947</v>
      </c>
      <c r="D106" s="173">
        <f t="shared" si="125"/>
        <v>5738.5848765966257</v>
      </c>
      <c r="E106" s="173">
        <f t="shared" si="126"/>
        <v>5757.8054209969096</v>
      </c>
      <c r="F106" s="173">
        <f t="shared" si="127"/>
        <v>5854.8528204118857</v>
      </c>
      <c r="G106" s="173">
        <f t="shared" si="128"/>
        <v>5974.942329723468</v>
      </c>
      <c r="H106" s="173">
        <f t="shared" si="129"/>
        <v>6009.1766624134807</v>
      </c>
      <c r="I106" s="173">
        <f t="shared" si="130"/>
        <v>6013.4644836373946</v>
      </c>
      <c r="J106" s="173">
        <f t="shared" si="131"/>
        <v>6052.2646086237728</v>
      </c>
      <c r="K106" s="173">
        <f t="shared" si="132"/>
        <v>6141.1925622541785</v>
      </c>
      <c r="L106" s="173">
        <f t="shared" si="133"/>
        <v>6158.2644150805663</v>
      </c>
    </row>
    <row r="107" spans="1:12" x14ac:dyDescent="0.2">
      <c r="B107" t="s">
        <v>70</v>
      </c>
      <c r="C107" s="173">
        <f t="shared" si="124"/>
        <v>5719.4100987610418</v>
      </c>
      <c r="D107" s="173">
        <f t="shared" si="125"/>
        <v>5739.4137270925639</v>
      </c>
      <c r="E107" s="173">
        <f t="shared" si="126"/>
        <v>5760.1831280325105</v>
      </c>
      <c r="F107" s="173">
        <f t="shared" si="127"/>
        <v>5868.7621501025824</v>
      </c>
      <c r="G107" s="173">
        <f t="shared" si="128"/>
        <v>5980.9863866897449</v>
      </c>
      <c r="H107" s="173">
        <f t="shared" si="129"/>
        <v>6008.8230948257997</v>
      </c>
      <c r="I107" s="173">
        <f t="shared" si="130"/>
        <v>6014.5333006671663</v>
      </c>
      <c r="J107" s="173">
        <f t="shared" si="131"/>
        <v>6057.6789162846371</v>
      </c>
      <c r="K107" s="173">
        <f t="shared" si="132"/>
        <v>6150.6380962777548</v>
      </c>
      <c r="L107" s="173">
        <f t="shared" si="133"/>
        <v>6151.6527119092661</v>
      </c>
    </row>
    <row r="108" spans="1:12" x14ac:dyDescent="0.2">
      <c r="B108" t="s">
        <v>71</v>
      </c>
      <c r="C108" s="173">
        <f t="shared" si="124"/>
        <v>5722.2481184446306</v>
      </c>
      <c r="D108" s="173">
        <f t="shared" si="125"/>
        <v>5740.2426973032325</v>
      </c>
      <c r="E108" s="173">
        <f t="shared" si="126"/>
        <v>5762.5618169510217</v>
      </c>
      <c r="F108" s="173">
        <f t="shared" si="127"/>
        <v>5882.7045240829275</v>
      </c>
      <c r="G108" s="173">
        <f t="shared" si="128"/>
        <v>5987.0365576271024</v>
      </c>
      <c r="H108" s="173">
        <f t="shared" si="129"/>
        <v>6008.4695480413075</v>
      </c>
      <c r="I108" s="173">
        <f t="shared" si="130"/>
        <v>6015.6023076656065</v>
      </c>
      <c r="J108" s="173">
        <f t="shared" si="131"/>
        <v>6063.0980675419642</v>
      </c>
      <c r="K108" s="173">
        <f t="shared" si="132"/>
        <v>6160.0981581169117</v>
      </c>
      <c r="L108" s="173">
        <f t="shared" si="133"/>
        <v>6145.0481072670118</v>
      </c>
    </row>
    <row r="109" spans="1:12" x14ac:dyDescent="0.2">
      <c r="B109" t="s">
        <v>72</v>
      </c>
      <c r="C109" s="173">
        <f t="shared" si="124"/>
        <v>5725.0875463775992</v>
      </c>
      <c r="D109" s="173">
        <f t="shared" si="125"/>
        <v>5741.0717872459236</v>
      </c>
      <c r="E109" s="173">
        <f t="shared" si="126"/>
        <v>5764.941488157916</v>
      </c>
      <c r="F109" s="173">
        <f t="shared" si="127"/>
        <v>5896.6800208559907</v>
      </c>
      <c r="G109" s="173">
        <f t="shared" si="128"/>
        <v>5993.0928487202345</v>
      </c>
      <c r="H109" s="173">
        <f t="shared" si="129"/>
        <v>6008.1160220587808</v>
      </c>
      <c r="I109" s="173">
        <f t="shared" si="130"/>
        <v>6016.6715046664804</v>
      </c>
      <c r="J109" s="173">
        <f t="shared" si="131"/>
        <v>6068.5220667287958</v>
      </c>
      <c r="K109" s="173">
        <f t="shared" si="132"/>
        <v>6169.5727701163287</v>
      </c>
      <c r="L109" s="173">
        <f t="shared" si="133"/>
        <v>6138.4505935326033</v>
      </c>
    </row>
    <row r="110" spans="1:12" x14ac:dyDescent="0.2">
      <c r="B110" t="s">
        <v>73</v>
      </c>
      <c r="C110" s="173">
        <f t="shared" si="124"/>
        <v>5727.9283832587325</v>
      </c>
      <c r="D110" s="173">
        <f t="shared" si="125"/>
        <v>5741.9009969379294</v>
      </c>
      <c r="E110" s="173">
        <f t="shared" si="126"/>
        <v>5767.3221420588334</v>
      </c>
      <c r="F110" s="173">
        <f t="shared" si="127"/>
        <v>5910.6887191113401</v>
      </c>
      <c r="G110" s="173">
        <f t="shared" si="128"/>
        <v>5999.1552661600908</v>
      </c>
      <c r="H110" s="173">
        <f t="shared" si="129"/>
        <v>6007.7625168769946</v>
      </c>
      <c r="I110" s="173">
        <f t="shared" si="130"/>
        <v>6017.7408917035582</v>
      </c>
      <c r="J110" s="173">
        <f t="shared" si="131"/>
        <v>6073.9509181820522</v>
      </c>
      <c r="K110" s="173">
        <f t="shared" si="132"/>
        <v>6179.0619546550515</v>
      </c>
      <c r="L110" s="173">
        <f t="shared" si="133"/>
        <v>6131.8601630930234</v>
      </c>
    </row>
    <row r="111" spans="1:12" x14ac:dyDescent="0.2">
      <c r="B111" t="s">
        <v>74</v>
      </c>
      <c r="C111" s="173">
        <f t="shared" si="124"/>
        <v>5730.7706297871628</v>
      </c>
      <c r="D111" s="173">
        <f t="shared" si="125"/>
        <v>5742.7303263965468</v>
      </c>
      <c r="E111" s="173">
        <f t="shared" si="126"/>
        <v>5769.7037790595805</v>
      </c>
      <c r="F111" s="173">
        <f t="shared" si="127"/>
        <v>5924.7306977254875</v>
      </c>
      <c r="G111" s="173">
        <f t="shared" si="128"/>
        <v>6005.2238161438845</v>
      </c>
      <c r="H111" s="173">
        <f t="shared" si="129"/>
        <v>6007.4090324947265</v>
      </c>
      <c r="I111" s="173">
        <f t="shared" si="130"/>
        <v>6018.8104688106168</v>
      </c>
      <c r="J111" s="173">
        <f t="shared" si="131"/>
        <v>6079.3846262425313</v>
      </c>
      <c r="K111" s="173">
        <f t="shared" si="132"/>
        <v>6188.5657341465476</v>
      </c>
      <c r="L111" s="173">
        <f t="shared" si="133"/>
        <v>6125.2768083434266</v>
      </c>
    </row>
    <row r="112" spans="1:12" x14ac:dyDescent="0.2">
      <c r="B112" t="s">
        <v>75</v>
      </c>
      <c r="C112" s="173">
        <f t="shared" si="124"/>
        <v>5733.6142866623695</v>
      </c>
      <c r="D112" s="173">
        <f t="shared" si="125"/>
        <v>5743.5597756390744</v>
      </c>
      <c r="E112" s="173">
        <f t="shared" si="126"/>
        <v>5772.0863995661321</v>
      </c>
      <c r="F112" s="173">
        <f t="shared" si="127"/>
        <v>5938.8060357623299</v>
      </c>
      <c r="G112" s="173">
        <f t="shared" si="128"/>
        <v>6011.298504875097</v>
      </c>
      <c r="H112" s="173">
        <f t="shared" si="129"/>
        <v>6007.0555689107514</v>
      </c>
      <c r="I112" s="173">
        <f t="shared" si="130"/>
        <v>6019.8802360214377</v>
      </c>
      <c r="J112" s="173">
        <f>J111*(1+$J$100)</f>
        <v>6084.8231952549149</v>
      </c>
      <c r="K112" s="173">
        <f t="shared" si="132"/>
        <v>6198.0841310387568</v>
      </c>
      <c r="L112" s="173">
        <f t="shared" si="133"/>
        <v>6118.7005216871339</v>
      </c>
    </row>
    <row r="113" spans="2:12" x14ac:dyDescent="0.2">
      <c r="B113" t="s">
        <v>9</v>
      </c>
      <c r="C113" s="173">
        <f>AVERAGE(C101:C112)</f>
        <v>5718.0000013756717</v>
      </c>
      <c r="D113" s="173">
        <f t="shared" ref="D113" si="134">AVERAGE(D101:D112)</f>
        <v>5739.0000001301232</v>
      </c>
      <c r="E113" s="173">
        <f t="shared" ref="E113" si="135">AVERAGE(E101:E112)</f>
        <v>5759.0000009844471</v>
      </c>
      <c r="F113" s="173">
        <f t="shared" ref="F113" si="136">AVERAGE(F101:F112)</f>
        <v>5862.0000169233763</v>
      </c>
      <c r="G113" s="173">
        <f t="shared" ref="G113" si="137">AVERAGE(G101:G112)</f>
        <v>5978.0000050757508</v>
      </c>
      <c r="H113" s="173">
        <f t="shared" ref="H113" si="138">AVERAGE(H101:H112)</f>
        <v>6008.999999975149</v>
      </c>
      <c r="I113" s="173">
        <f t="shared" ref="I113" si="139">AVERAGE(I101:I112)</f>
        <v>6014.0000002044408</v>
      </c>
      <c r="J113" s="173">
        <f t="shared" ref="J113" si="140">AVERAGE(J101:J112)</f>
        <v>6055.000004176286</v>
      </c>
      <c r="K113" s="173">
        <f t="shared" ref="K113" si="141">AVERAGE(K101:K112)</f>
        <v>6146.0000101049836</v>
      </c>
      <c r="L113" s="173">
        <f t="shared" ref="L113" si="142">AVERAGE(L101:L112)</f>
        <v>6154.9999939099025</v>
      </c>
    </row>
    <row r="114" spans="2:12" x14ac:dyDescent="0.2">
      <c r="C114" s="173" cm="1">
        <f t="array" ref="C114:L114">TRANSPOSE(Averages!P18:P27)</f>
        <v>5717.6666666666661</v>
      </c>
      <c r="D114" s="173">
        <v>5739.3333333333339</v>
      </c>
      <c r="E114" s="173">
        <v>5758.666666666667</v>
      </c>
      <c r="F114" s="173">
        <v>5861.7083333333339</v>
      </c>
      <c r="G114" s="173">
        <v>5978</v>
      </c>
      <c r="H114" s="173">
        <v>6008.5</v>
      </c>
      <c r="I114" s="173">
        <v>6013.5</v>
      </c>
      <c r="J114" s="173">
        <v>6055</v>
      </c>
      <c r="K114" s="173">
        <v>6146</v>
      </c>
      <c r="L114" s="173">
        <v>6154.5</v>
      </c>
    </row>
    <row r="115" spans="2:12" x14ac:dyDescent="0.2">
      <c r="C115" s="173">
        <f>C113-C114</f>
        <v>0.33333470900561224</v>
      </c>
      <c r="D115" s="173">
        <f t="shared" ref="D115" si="143">D113-D114</f>
        <v>-0.33333320321071369</v>
      </c>
      <c r="E115" s="173">
        <f t="shared" ref="E115" si="144">E113-E114</f>
        <v>0.33333431778009981</v>
      </c>
      <c r="F115" s="173">
        <f t="shared" ref="F115" si="145">F113-F114</f>
        <v>0.29168359004233935</v>
      </c>
      <c r="G115" s="173">
        <f t="shared" ref="G115" si="146">G113-G114</f>
        <v>5.0757507779053412E-6</v>
      </c>
      <c r="H115" s="173">
        <f t="shared" ref="H115" si="147">H113-H114</f>
        <v>0.49999997514896677</v>
      </c>
      <c r="I115" s="173">
        <f t="shared" ref="I115" si="148">I113-I114</f>
        <v>0.50000020444076654</v>
      </c>
      <c r="J115" s="173">
        <f t="shared" ref="J115" si="149">J113-J114</f>
        <v>4.1762859837035649E-6</v>
      </c>
      <c r="K115" s="173">
        <f t="shared" ref="K115" si="150">K113-K114</f>
        <v>1.0104983630299103E-5</v>
      </c>
      <c r="L115" s="173">
        <f t="shared" ref="L115" si="151">L113-L114</f>
        <v>0.49999390990251413</v>
      </c>
    </row>
  </sheetData>
  <pageMargins left="0.7" right="0.7" top="0.75" bottom="0.75" header="0.3" footer="0.3"/>
  <pageSetup scale="68" orientation="portrait" r:id="rId1"/>
  <rowBreaks count="1" manualBreakCount="1">
    <brk id="7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92D050"/>
  </sheetPr>
  <dimension ref="A1:O66"/>
  <sheetViews>
    <sheetView view="pageBreakPreview" zoomScale="85" zoomScaleNormal="85" zoomScaleSheetLayoutView="85" workbookViewId="0">
      <pane xSplit="1" ySplit="1" topLeftCell="B24" activePane="bottomRight" state="frozen"/>
      <selection activeCell="C22" sqref="C22"/>
      <selection pane="topRight" activeCell="C22" sqref="C22"/>
      <selection pane="bottomLeft" activeCell="C22" sqref="C22"/>
      <selection pane="bottomRight" activeCell="C22" sqref="C22"/>
    </sheetView>
  </sheetViews>
  <sheetFormatPr defaultRowHeight="12.75" x14ac:dyDescent="0.2"/>
  <cols>
    <col min="1" max="1" width="42.5703125" customWidth="1"/>
    <col min="2" max="2" width="12.42578125" bestFit="1" customWidth="1"/>
    <col min="3" max="4" width="11" bestFit="1" customWidth="1"/>
    <col min="5" max="8" width="12.5703125" bestFit="1" customWidth="1"/>
    <col min="9" max="11" width="12.5703125" customWidth="1"/>
    <col min="12" max="13" width="12.5703125" bestFit="1" customWidth="1"/>
    <col min="15" max="15" width="12.5703125" customWidth="1"/>
  </cols>
  <sheetData>
    <row r="1" spans="1:15" ht="30.75" customHeight="1" x14ac:dyDescent="0.25">
      <c r="A1" s="26" t="s">
        <v>152</v>
      </c>
      <c r="B1" s="26"/>
      <c r="C1" s="26"/>
      <c r="D1" s="26"/>
    </row>
    <row r="2" spans="1:15" x14ac:dyDescent="0.2">
      <c r="K2" s="141"/>
      <c r="L2" s="28" t="s">
        <v>136</v>
      </c>
      <c r="M2" s="28" t="s">
        <v>135</v>
      </c>
    </row>
    <row r="3" spans="1:15" ht="25.5" x14ac:dyDescent="0.2">
      <c r="B3" s="28" t="s">
        <v>34</v>
      </c>
      <c r="C3" s="28" t="s">
        <v>35</v>
      </c>
      <c r="D3" s="28" t="s">
        <v>37</v>
      </c>
      <c r="E3" s="28" t="s">
        <v>38</v>
      </c>
      <c r="F3" s="28" t="s">
        <v>134</v>
      </c>
      <c r="G3" s="28" t="s">
        <v>133</v>
      </c>
      <c r="H3" s="28" t="s">
        <v>137</v>
      </c>
      <c r="I3" s="28" t="s">
        <v>132</v>
      </c>
      <c r="J3" s="28" t="s">
        <v>131</v>
      </c>
      <c r="K3" s="28" t="s">
        <v>148</v>
      </c>
      <c r="L3" s="28" t="s">
        <v>80</v>
      </c>
      <c r="M3" s="28" t="s">
        <v>80</v>
      </c>
    </row>
    <row r="4" spans="1:15" x14ac:dyDescent="0.2">
      <c r="A4" s="12" t="s">
        <v>26</v>
      </c>
      <c r="B4" s="19">
        <f>'Power Purchased Model'!B152</f>
        <v>488555532.25999981</v>
      </c>
      <c r="C4" s="19">
        <f>'Power Purchased Model'!B153</f>
        <v>476330269.50999999</v>
      </c>
      <c r="D4" s="19">
        <f>'Power Purchased Model'!B154</f>
        <v>499580482.79999995</v>
      </c>
      <c r="E4" s="19">
        <f>'Power Purchased Model'!B155</f>
        <v>489885593.67000008</v>
      </c>
      <c r="F4" s="19">
        <f>+'Power Purchased Model'!B156</f>
        <v>482685186</v>
      </c>
      <c r="G4" s="19">
        <f>+'Power Purchased Model'!B157</f>
        <v>491981128.84560001</v>
      </c>
      <c r="H4" s="19">
        <f>+'Power Purchased Model'!B158</f>
        <v>509139278.70600003</v>
      </c>
      <c r="I4" s="19">
        <f>+'Power Purchased Model'!B159</f>
        <v>499577067.48000002</v>
      </c>
      <c r="J4" s="19">
        <f>+'Power Purchased Model'!B160</f>
        <v>513995694.87999994</v>
      </c>
      <c r="K4" s="19">
        <f>+'Power Purchased Model'!B161</f>
        <v>527446133.11000001</v>
      </c>
      <c r="L4" s="19"/>
    </row>
    <row r="5" spans="1:15" x14ac:dyDescent="0.2">
      <c r="A5" s="12" t="s">
        <v>27</v>
      </c>
      <c r="B5" s="19">
        <f>'Power Purchased Model'!Q152</f>
        <v>477698237.8472172</v>
      </c>
      <c r="C5" s="19">
        <f>'Power Purchased Model'!Q153</f>
        <v>477365337.37385362</v>
      </c>
      <c r="D5" s="19">
        <f>'Power Purchased Model'!Q154</f>
        <v>494995328.74702567</v>
      </c>
      <c r="E5" s="19">
        <f>+'Power Purchased Model'!Q155</f>
        <v>500781454.6900506</v>
      </c>
      <c r="F5" s="19">
        <f>+'Power Purchased Model'!Q156</f>
        <v>491698954.50097716</v>
      </c>
      <c r="G5" s="19">
        <f>+'Power Purchased Model'!Q157</f>
        <v>500574908.50121129</v>
      </c>
      <c r="H5" s="19">
        <f>+'Power Purchased Model'!Q158</f>
        <v>498699112.38918728</v>
      </c>
      <c r="I5" s="19">
        <f>+'Power Purchased Model'!Q159</f>
        <v>500158442.93097919</v>
      </c>
      <c r="J5" s="19">
        <f>+'Power Purchased Model'!Q160</f>
        <v>517056368.30425441</v>
      </c>
      <c r="K5" s="19">
        <f>+'Power Purchased Model'!Q161</f>
        <v>520148221.97684371</v>
      </c>
      <c r="L5" s="19">
        <f>+'Power Purchased Model'!Q162</f>
        <v>516339024.81672943</v>
      </c>
      <c r="M5" s="19">
        <f>+'Power Purchased Model'!Q163</f>
        <v>517274726.10392481</v>
      </c>
    </row>
    <row r="6" spans="1:15" x14ac:dyDescent="0.2">
      <c r="A6" s="12" t="s">
        <v>6</v>
      </c>
      <c r="B6" s="27">
        <f>(B5-B4)/B4</f>
        <v>-2.2223255486552483E-2</v>
      </c>
      <c r="C6" s="27">
        <f t="shared" ref="C6:K6" si="0">(C5-C4)/C4</f>
        <v>2.1730045938890379E-3</v>
      </c>
      <c r="D6" s="27">
        <f t="shared" si="0"/>
        <v>-9.1780087710309644E-3</v>
      </c>
      <c r="E6" s="27">
        <f t="shared" si="0"/>
        <v>2.224164409168208E-2</v>
      </c>
      <c r="F6" s="27">
        <f t="shared" si="0"/>
        <v>1.8674218232537922E-2</v>
      </c>
      <c r="G6" s="27">
        <f t="shared" si="0"/>
        <v>1.7467701811604019E-2</v>
      </c>
      <c r="H6" s="27">
        <f t="shared" si="0"/>
        <v>-2.0505521285544691E-2</v>
      </c>
      <c r="I6" s="27">
        <f t="shared" si="0"/>
        <v>1.1637352649347698E-3</v>
      </c>
      <c r="J6" s="27">
        <f t="shared" si="0"/>
        <v>5.954667431541499E-3</v>
      </c>
      <c r="K6" s="27">
        <f t="shared" si="0"/>
        <v>-1.3836315549656907E-2</v>
      </c>
    </row>
    <row r="7" spans="1:15" x14ac:dyDescent="0.2">
      <c r="A7" s="12"/>
      <c r="B7" s="12"/>
      <c r="C7" s="12"/>
      <c r="D7" s="12"/>
      <c r="E7" s="27"/>
      <c r="F7" s="27"/>
      <c r="G7" s="27"/>
      <c r="H7" s="27"/>
      <c r="I7" s="27"/>
      <c r="J7" s="27"/>
      <c r="K7" s="27"/>
      <c r="L7" s="19"/>
      <c r="M7" s="19"/>
    </row>
    <row r="8" spans="1:15" x14ac:dyDescent="0.2">
      <c r="A8" s="12"/>
      <c r="B8" s="12"/>
      <c r="C8" s="12"/>
      <c r="D8" s="12"/>
      <c r="E8" s="27"/>
      <c r="F8" s="27"/>
      <c r="G8" s="27"/>
      <c r="H8" s="27"/>
      <c r="I8" s="27"/>
      <c r="J8" s="27"/>
      <c r="K8" s="27"/>
      <c r="L8" s="33"/>
      <c r="M8" s="33"/>
    </row>
    <row r="9" spans="1:15" x14ac:dyDescent="0.2">
      <c r="A9" s="12"/>
      <c r="B9" s="12"/>
      <c r="C9" s="12"/>
      <c r="D9" s="12"/>
      <c r="E9" s="27"/>
      <c r="F9" s="27"/>
      <c r="G9" s="27"/>
      <c r="H9" s="27"/>
      <c r="I9" s="27"/>
      <c r="J9" s="27"/>
      <c r="K9" s="27"/>
    </row>
    <row r="10" spans="1:15" x14ac:dyDescent="0.2">
      <c r="A10" s="12" t="s">
        <v>39</v>
      </c>
      <c r="B10" s="6">
        <f>'Rate Class Energy Model'!G3</f>
        <v>466965821.50999999</v>
      </c>
      <c r="C10" s="6">
        <f>'Rate Class Energy Model'!G4</f>
        <v>452799209.12997222</v>
      </c>
      <c r="D10" s="6">
        <f>'Rate Class Energy Model'!G5</f>
        <v>476777176.6093052</v>
      </c>
      <c r="E10" s="6">
        <f>'Rate Class Energy Model'!G6</f>
        <v>468336926</v>
      </c>
      <c r="F10" s="6">
        <f>'Rate Class Energy Model'!G7</f>
        <v>461631476.96999991</v>
      </c>
      <c r="G10" s="6">
        <f>'Rate Class Energy Model'!G8</f>
        <v>468858052.86000001</v>
      </c>
      <c r="H10" s="6">
        <f>'Rate Class Energy Model'!G9</f>
        <v>482972982.97999996</v>
      </c>
      <c r="I10" s="6">
        <f>'Rate Class Energy Model'!G10</f>
        <v>476879269.06999999</v>
      </c>
      <c r="J10" s="6">
        <f>'Rate Class Energy Model'!G11</f>
        <v>489019209.53999996</v>
      </c>
      <c r="K10" s="55">
        <f>'Rate Class Energy Model'!G12</f>
        <v>503346495.24381894</v>
      </c>
      <c r="L10" s="55">
        <f>'Rate Class Energy Model'!G13</f>
        <v>492328477.17528081</v>
      </c>
      <c r="M10" s="55">
        <f>'Rate Class Energy Model'!G14</f>
        <v>493220666.93370426</v>
      </c>
    </row>
    <row r="11" spans="1:15" x14ac:dyDescent="0.2">
      <c r="A11" s="12"/>
      <c r="C11" s="12"/>
      <c r="D11" s="12"/>
      <c r="L11" s="6"/>
      <c r="M11" s="6"/>
    </row>
    <row r="12" spans="1:15" ht="15.75" x14ac:dyDescent="0.25">
      <c r="A12" s="26" t="s">
        <v>28</v>
      </c>
      <c r="B12" s="12"/>
      <c r="C12" s="26"/>
      <c r="D12" s="26"/>
      <c r="E12" s="1"/>
      <c r="H12" s="33"/>
    </row>
    <row r="13" spans="1:15" x14ac:dyDescent="0.2">
      <c r="A13" s="25" t="str">
        <f>'Rate Class Energy Model'!H2</f>
        <v>Residential</v>
      </c>
      <c r="B13" s="25"/>
      <c r="C13" s="25"/>
      <c r="D13" s="25"/>
      <c r="E13" s="1"/>
      <c r="H13" s="6"/>
      <c r="I13" s="6"/>
      <c r="J13" s="6"/>
      <c r="K13" s="6"/>
      <c r="L13" s="6"/>
      <c r="M13" s="6"/>
    </row>
    <row r="14" spans="1:15" x14ac:dyDescent="0.2">
      <c r="A14" t="s">
        <v>21</v>
      </c>
      <c r="B14" s="6">
        <f>'Rate Class Customer Model'!B11</f>
        <v>25975.00000281772</v>
      </c>
      <c r="C14" s="6">
        <f>'Rate Class Customer Model'!B12</f>
        <v>26129.000009853564</v>
      </c>
      <c r="D14" s="6">
        <f>'Rate Class Customer Model'!B13</f>
        <v>26347.000013108871</v>
      </c>
      <c r="E14" s="6">
        <f>'Rate Class Customer Model'!B14</f>
        <v>26619.000020449614</v>
      </c>
      <c r="F14" s="6">
        <f>'Rate Class Customer Model'!B15</f>
        <v>26905.00001660228</v>
      </c>
      <c r="G14" s="6">
        <f>'Rate Class Customer Model'!B16</f>
        <v>27186.000018568298</v>
      </c>
      <c r="H14" s="6">
        <f>'Rate Class Customer Model'!B17</f>
        <v>27519.000027677106</v>
      </c>
      <c r="I14" s="6">
        <f>'Rate Class Customer Model'!B18</f>
        <v>27839.000016931259</v>
      </c>
      <c r="J14" s="6">
        <f>'Rate Class Customer Model'!B19</f>
        <v>28077.000009760213</v>
      </c>
      <c r="K14" s="6">
        <f>'Rate Class Customer Model'!B20</f>
        <v>28279.00000933748</v>
      </c>
      <c r="L14" s="6">
        <f>'Rate Class Customer Model'!B21</f>
        <v>28547.296882429408</v>
      </c>
      <c r="M14" s="6">
        <f>'Rate Class Customer Model'!B22</f>
        <v>28818.139220781319</v>
      </c>
      <c r="N14" s="54"/>
      <c r="O14" s="54"/>
    </row>
    <row r="15" spans="1:15" x14ac:dyDescent="0.2">
      <c r="A15" t="s">
        <v>22</v>
      </c>
      <c r="B15" s="32">
        <f>'Rate Class Energy Model'!H3</f>
        <v>202182964.05000001</v>
      </c>
      <c r="C15" s="6">
        <f>'Rate Class Energy Model'!H4</f>
        <v>192333396.59142745</v>
      </c>
      <c r="D15" s="6">
        <f>'Rate Class Energy Model'!H5</f>
        <v>213384791.97681683</v>
      </c>
      <c r="E15" s="6">
        <f>'Rate Class Energy Model'!H6</f>
        <v>208333696</v>
      </c>
      <c r="F15" s="6">
        <f>'Rate Class Energy Model'!H7</f>
        <v>220200219.66</v>
      </c>
      <c r="G15" s="6">
        <f>'Rate Class Energy Model'!H8</f>
        <v>223186490.06</v>
      </c>
      <c r="H15" s="6">
        <f>'Rate Class Energy Model'!H9</f>
        <v>226316453.80000001</v>
      </c>
      <c r="I15" s="6">
        <f>'Rate Class Energy Model'!H10</f>
        <v>219776043.25999999</v>
      </c>
      <c r="J15" s="6">
        <f>'Rate Class Energy Model'!H11</f>
        <v>228623867.22</v>
      </c>
      <c r="K15" s="55">
        <f>'Rate Class Energy Model'!H12</f>
        <v>239825021.94555604</v>
      </c>
      <c r="L15" s="55">
        <f>'Rate Class Energy Model'!H32</f>
        <v>235465355.25120106</v>
      </c>
      <c r="M15" s="55">
        <f>'Rate Class Energy Model'!H33</f>
        <v>237403471.2198239</v>
      </c>
      <c r="N15" s="54"/>
      <c r="O15" s="54"/>
    </row>
    <row r="16" spans="1:15" x14ac:dyDescent="0.2">
      <c r="C16" s="33"/>
      <c r="D16" s="33"/>
      <c r="F16" s="33"/>
      <c r="G16" s="33"/>
      <c r="H16" s="33"/>
      <c r="I16" s="33"/>
      <c r="J16" s="33"/>
      <c r="N16" s="33"/>
    </row>
    <row r="17" spans="1:15" x14ac:dyDescent="0.2">
      <c r="A17" s="25" t="str">
        <f>'Rate Class Energy Model'!I2</f>
        <v>General Service &lt; 50 kW</v>
      </c>
      <c r="B17" s="1"/>
      <c r="C17" s="1"/>
      <c r="D17" s="6"/>
      <c r="E17" s="6"/>
      <c r="F17" s="6"/>
      <c r="G17" s="6"/>
      <c r="H17" s="6"/>
      <c r="I17" s="6"/>
      <c r="J17" s="6"/>
      <c r="N17" s="33"/>
    </row>
    <row r="18" spans="1:15" ht="13.5" customHeight="1" x14ac:dyDescent="0.2">
      <c r="A18" t="s">
        <v>21</v>
      </c>
      <c r="B18" s="6">
        <f>'Rate Class Customer Model'!C11</f>
        <v>2497.0000002302422</v>
      </c>
      <c r="C18" s="6">
        <f>'Rate Class Customer Model'!C12</f>
        <v>2505.0000001524254</v>
      </c>
      <c r="D18" s="6">
        <f>'Rate Class Customer Model'!C13</f>
        <v>2498.9999991697982</v>
      </c>
      <c r="E18" s="6">
        <f>'Rate Class Customer Model'!C14</f>
        <v>2492.0000000078071</v>
      </c>
      <c r="F18" s="6">
        <f>'Rate Class Customer Model'!C15</f>
        <v>2489.9999999185279</v>
      </c>
      <c r="G18" s="6">
        <f>'Rate Class Customer Model'!C16</f>
        <v>2496.0000006376936</v>
      </c>
      <c r="H18" s="6">
        <f>'Rate Class Customer Model'!C17</f>
        <v>2518.0000018093401</v>
      </c>
      <c r="I18" s="6">
        <f>'Rate Class Customer Model'!C18</f>
        <v>2530.000959279259</v>
      </c>
      <c r="J18" s="6">
        <f>'Rate Class Customer Model'!C19</f>
        <v>2534.0000002060556</v>
      </c>
      <c r="K18" s="6">
        <f>'Rate Class Customer Model'!C20</f>
        <v>2545.0000004697868</v>
      </c>
      <c r="L18" s="6">
        <f>'Rate Class Customer Model'!C21</f>
        <v>2550.3899695677478</v>
      </c>
      <c r="M18" s="6">
        <f>'Rate Class Customer Model'!C22</f>
        <v>2555.7913538982712</v>
      </c>
      <c r="N18" s="54"/>
      <c r="O18" s="54"/>
    </row>
    <row r="19" spans="1:15" x14ac:dyDescent="0.2">
      <c r="A19" t="s">
        <v>22</v>
      </c>
      <c r="B19" s="6">
        <f>'Rate Class Energy Model'!I3</f>
        <v>69095397.390000001</v>
      </c>
      <c r="C19" s="6">
        <f>'Rate Class Energy Model'!I4</f>
        <v>66385178.073323995</v>
      </c>
      <c r="D19" s="6">
        <f>'Rate Class Energy Model'!I5</f>
        <v>68552191.048737228</v>
      </c>
      <c r="E19" s="6">
        <f>'Rate Class Energy Model'!I6</f>
        <v>68296620</v>
      </c>
      <c r="F19" s="6">
        <f>'Rate Class Energy Model'!I7</f>
        <v>63219121.670000002</v>
      </c>
      <c r="G19" s="6">
        <f>'Rate Class Energy Model'!I8</f>
        <v>63093119.950000003</v>
      </c>
      <c r="H19" s="6">
        <f>'Rate Class Energy Model'!I9</f>
        <v>67968059.879999995</v>
      </c>
      <c r="I19" s="6">
        <f>'Rate Class Energy Model'!I10</f>
        <v>66829175.539999999</v>
      </c>
      <c r="J19" s="6">
        <f>'Rate Class Energy Model'!I11</f>
        <v>67302263.310000002</v>
      </c>
      <c r="K19" s="55">
        <f>'Rate Class Energy Model'!I12</f>
        <v>69410244.351478517</v>
      </c>
      <c r="L19" s="55">
        <f>'Rate Class Energy Model'!I32</f>
        <v>67650959.229204848</v>
      </c>
      <c r="M19" s="55">
        <f>'Rate Class Energy Model'!I33</f>
        <v>67709852.535780728</v>
      </c>
      <c r="N19" s="54"/>
      <c r="O19" s="54"/>
    </row>
    <row r="20" spans="1:15" x14ac:dyDescent="0.2">
      <c r="D20" s="33"/>
      <c r="F20" s="33"/>
      <c r="G20" s="33"/>
      <c r="H20" s="33"/>
      <c r="I20" s="33"/>
      <c r="J20" s="33"/>
      <c r="N20" s="33"/>
    </row>
    <row r="21" spans="1:15" x14ac:dyDescent="0.2">
      <c r="A21" s="25" t="str">
        <f>'Rate Class Energy Model'!J2</f>
        <v>General Service &gt;= 50 kW</v>
      </c>
      <c r="B21" s="1"/>
      <c r="C21" s="1"/>
      <c r="N21" s="33"/>
    </row>
    <row r="22" spans="1:15" x14ac:dyDescent="0.2">
      <c r="A22" t="s">
        <v>21</v>
      </c>
      <c r="B22" s="6">
        <f>'Rate Class Customer Model'!D11</f>
        <v>212.99999918317701</v>
      </c>
      <c r="C22" s="6">
        <f>'Rate Class Customer Model'!D12</f>
        <v>201.99999917716119</v>
      </c>
      <c r="D22" s="6">
        <f>'Rate Class Customer Model'!D13</f>
        <v>197.99933726277015</v>
      </c>
      <c r="E22" s="6">
        <f>'Rate Class Customer Model'!D14</f>
        <v>192.99999922121364</v>
      </c>
      <c r="F22" s="6">
        <f>'Rate Class Customer Model'!D15</f>
        <v>192.00000066270547</v>
      </c>
      <c r="G22" s="6">
        <f>'Rate Class Customer Model'!D16</f>
        <v>199.00000072789609</v>
      </c>
      <c r="H22" s="6">
        <f>'Rate Class Customer Model'!D17</f>
        <v>200.999999803191</v>
      </c>
      <c r="I22" s="6">
        <f>'Rate Class Customer Model'!D18</f>
        <v>199.99977258067324</v>
      </c>
      <c r="J22" s="6">
        <f>'Rate Class Customer Model'!D19</f>
        <v>203.00000052972231</v>
      </c>
      <c r="K22" s="55">
        <f>'Rate Class Customer Model'!D20</f>
        <v>202.99999955378772</v>
      </c>
      <c r="L22" s="55">
        <f>'Rate Class Customer Model'!D21</f>
        <v>201.9182812729521</v>
      </c>
      <c r="M22" s="55">
        <f>'Rate Class Customer Model'!D22</f>
        <v>200.84232710266656</v>
      </c>
      <c r="N22" s="54"/>
      <c r="O22" s="54"/>
    </row>
    <row r="23" spans="1:15" x14ac:dyDescent="0.2">
      <c r="A23" t="s">
        <v>22</v>
      </c>
      <c r="B23" s="6">
        <f>'Rate Class Energy Model'!J3</f>
        <v>185839670.57999998</v>
      </c>
      <c r="C23" s="6">
        <f>'Rate Class Energy Model'!J4</f>
        <v>185980426.04825354</v>
      </c>
      <c r="D23" s="6">
        <f>'Rate Class Energy Model'!J5</f>
        <v>186317853.54878309</v>
      </c>
      <c r="E23" s="6">
        <f>'Rate Class Energy Model'!J6</f>
        <v>183204908</v>
      </c>
      <c r="F23" s="6">
        <f>'Rate Class Energy Model'!J7</f>
        <v>169630766.96000001</v>
      </c>
      <c r="G23" s="6">
        <f>'Rate Class Energy Model'!J8</f>
        <v>173812299.56999999</v>
      </c>
      <c r="H23" s="6">
        <f>'Rate Class Energy Model'!J9</f>
        <v>179949732.97</v>
      </c>
      <c r="I23" s="6">
        <f>'Rate Class Energy Model'!J10</f>
        <v>181546335.81</v>
      </c>
      <c r="J23" s="6">
        <f>'Rate Class Energy Model'!J11</f>
        <v>184252866.08999997</v>
      </c>
      <c r="K23" s="55">
        <f>'Rate Class Energy Model'!J12</f>
        <v>185314016.59084186</v>
      </c>
      <c r="L23" s="55">
        <f>'Rate Class Energy Model'!J32</f>
        <v>180386227.05558756</v>
      </c>
      <c r="M23" s="55">
        <f>'Rate Class Energy Model'!J33</f>
        <v>179251886.79055846</v>
      </c>
      <c r="N23" s="182">
        <v>78287.841524544681</v>
      </c>
      <c r="O23" s="183" t="s">
        <v>153</v>
      </c>
    </row>
    <row r="24" spans="1:15" x14ac:dyDescent="0.2">
      <c r="A24" t="s">
        <v>23</v>
      </c>
      <c r="B24" s="6">
        <f>'Rate Class Load Model'!B2</f>
        <v>580036.22</v>
      </c>
      <c r="C24" s="6">
        <f>'Rate Class Load Model'!B3</f>
        <v>588371.79999999993</v>
      </c>
      <c r="D24" s="6">
        <f>'Rate Class Load Model'!B4</f>
        <v>580250.94000000006</v>
      </c>
      <c r="E24" s="6">
        <f>'Rate Class Load Model'!B5</f>
        <v>553967</v>
      </c>
      <c r="F24" s="6">
        <f>'Rate Class Load Model'!B6</f>
        <v>527483.83000000007</v>
      </c>
      <c r="G24" s="6">
        <f>'Rate Class Load Model'!B7</f>
        <v>560531.96</v>
      </c>
      <c r="H24" s="6">
        <f>'Rate Class Load Model'!B8</f>
        <v>570326.93000000005</v>
      </c>
      <c r="I24" s="6">
        <f>'Rate Class Load Model'!B9</f>
        <v>579214.24</v>
      </c>
      <c r="J24" s="6">
        <f>'Rate Class Load Model'!B10</f>
        <v>577912.13</v>
      </c>
      <c r="K24" s="55">
        <f>'Rate Class Load Model'!B11</f>
        <v>567720.46000000008</v>
      </c>
      <c r="L24" s="55">
        <f>'Rate Class Load Model'!B12</f>
        <v>564920.39797559869</v>
      </c>
      <c r="M24" s="55">
        <f>'Rate Class Load Model'!B13</f>
        <v>561367.95406444289</v>
      </c>
      <c r="N24" s="182">
        <f>N23+M24</f>
        <v>639655.79558898753</v>
      </c>
      <c r="O24" s="183" t="s">
        <v>154</v>
      </c>
    </row>
    <row r="25" spans="1:15" x14ac:dyDescent="0.2">
      <c r="B25" s="6"/>
      <c r="C25" s="6"/>
      <c r="D25" s="6"/>
      <c r="E25" s="6"/>
      <c r="F25" s="6"/>
      <c r="H25" s="6"/>
      <c r="I25" s="6"/>
      <c r="J25" s="6"/>
      <c r="N25" s="33"/>
    </row>
    <row r="26" spans="1:15" x14ac:dyDescent="0.2">
      <c r="A26" s="25" t="str">
        <f>'Rate Class Energy Model'!K2</f>
        <v>Unmetered Scattered Load</v>
      </c>
      <c r="B26" s="1"/>
      <c r="C26" s="1"/>
      <c r="N26" s="33"/>
    </row>
    <row r="27" spans="1:15" x14ac:dyDescent="0.2">
      <c r="A27" s="39" t="s">
        <v>157</v>
      </c>
      <c r="B27" s="6">
        <f>'Rate Class Customer Model'!E11</f>
        <v>36.000272421901862</v>
      </c>
      <c r="C27" s="6">
        <f>'Rate Class Customer Model'!E12</f>
        <v>42.999733209025841</v>
      </c>
      <c r="D27" s="6">
        <f>'Rate Class Customer Model'!E13</f>
        <v>49.000610312266637</v>
      </c>
      <c r="E27" s="6">
        <f>'Rate Class Customer Model'!E14</f>
        <v>47.000576596160109</v>
      </c>
      <c r="F27" s="6">
        <f>'Rate Class Customer Model'!E15</f>
        <v>45.999875630857623</v>
      </c>
      <c r="G27" s="6">
        <f>'Rate Class Customer Model'!E16</f>
        <v>45.000581707115771</v>
      </c>
      <c r="H27" s="6">
        <f>'Rate Class Customer Model'!E17</f>
        <v>43.000548916746652</v>
      </c>
      <c r="I27" s="6">
        <f>'Rate Class Customer Model'!E18</f>
        <v>42.000113079818469</v>
      </c>
      <c r="J27" s="6">
        <f>'Rate Class Customer Model'!E19</f>
        <v>41.999907697781225</v>
      </c>
      <c r="K27" s="6">
        <f>'Rate Class Customer Model'!E20</f>
        <v>42.999447682064066</v>
      </c>
      <c r="L27" s="6">
        <f>'Rate Class Customer Model'!E21</f>
        <v>43.856693653094261</v>
      </c>
      <c r="M27" s="6">
        <f>'Rate Class Customer Model'!E22</f>
        <v>44.731029858870748</v>
      </c>
      <c r="N27" s="54"/>
      <c r="O27" s="54"/>
    </row>
    <row r="28" spans="1:15" x14ac:dyDescent="0.2">
      <c r="A28" t="s">
        <v>22</v>
      </c>
      <c r="B28" s="6">
        <f>'Rate Class Energy Model'!K3</f>
        <v>1416419.3800000001</v>
      </c>
      <c r="C28" s="6">
        <f>'Rate Class Energy Model'!K4</f>
        <v>1308270.2299999995</v>
      </c>
      <c r="D28" s="6">
        <f>'Rate Class Energy Model'!K5</f>
        <v>1307305.7299999995</v>
      </c>
      <c r="E28" s="6">
        <f>'Rate Class Energy Model'!K6</f>
        <v>1299487</v>
      </c>
      <c r="F28" s="6">
        <f>'Rate Class Energy Model'!K7</f>
        <v>1307649.58</v>
      </c>
      <c r="G28" s="6">
        <f>'Rate Class Energy Model'!K8</f>
        <v>1288662.6200000001</v>
      </c>
      <c r="H28" s="6">
        <f>'Rate Class Energy Model'!K9</f>
        <v>1284000.5900000001</v>
      </c>
      <c r="I28" s="6">
        <f>'Rate Class Energy Model'!K10</f>
        <v>1285502.0899999999</v>
      </c>
      <c r="J28" s="6">
        <f>'Rate Class Energy Model'!K11</f>
        <v>1292091</v>
      </c>
      <c r="K28" s="55">
        <f>'Rate Class Energy Model'!K12</f>
        <v>1294985</v>
      </c>
      <c r="L28" s="55">
        <f>'Rate Class Energy Model'!K32</f>
        <v>1320802.0914659814</v>
      </c>
      <c r="M28" s="55">
        <f>'Rate Class Energy Model'!K33</f>
        <v>1347133.8778602926</v>
      </c>
      <c r="N28" s="54"/>
      <c r="O28" s="54"/>
    </row>
    <row r="29" spans="1:15" x14ac:dyDescent="0.2">
      <c r="D29" s="6"/>
      <c r="E29" s="6"/>
      <c r="F29" s="6"/>
      <c r="G29" s="6"/>
      <c r="H29" s="6"/>
      <c r="I29" s="6"/>
      <c r="J29" s="6"/>
      <c r="N29" s="33"/>
    </row>
    <row r="30" spans="1:15" x14ac:dyDescent="0.2">
      <c r="A30" s="25" t="str">
        <f>'Rate Class Energy Model'!L2</f>
        <v>Sentinel Lighting</v>
      </c>
      <c r="B30" s="1"/>
      <c r="C30" s="1"/>
      <c r="N30" s="33"/>
    </row>
    <row r="31" spans="1:15" x14ac:dyDescent="0.2">
      <c r="A31" s="39" t="s">
        <v>158</v>
      </c>
      <c r="B31" s="6">
        <f>'Rate Class Customer Model'!F11</f>
        <v>746.9999973879153</v>
      </c>
      <c r="C31" s="6">
        <f>'Rate Class Customer Model'!F12</f>
        <v>718.99999713373836</v>
      </c>
      <c r="D31" s="6">
        <f>'Rate Class Customer Model'!F13</f>
        <v>702.00018067538122</v>
      </c>
      <c r="E31" s="6">
        <f>'Rate Class Customer Model'!F14</f>
        <v>671.99999830239233</v>
      </c>
      <c r="F31" s="6">
        <f>'Rate Class Customer Model'!F15</f>
        <v>641.99999863824553</v>
      </c>
      <c r="G31" s="6">
        <f>'Rate Class Customer Model'!F16</f>
        <v>638.99997565187289</v>
      </c>
      <c r="H31" s="6">
        <f>'Rate Class Customer Model'!F17</f>
        <v>636.00001432786598</v>
      </c>
      <c r="I31" s="6">
        <f>'Rate Class Customer Model'!F18</f>
        <v>627.00000011456291</v>
      </c>
      <c r="J31" s="6">
        <f>'Rate Class Customer Model'!F19</f>
        <v>623.99970368356333</v>
      </c>
      <c r="K31" s="6">
        <f>'Rate Class Customer Model'!F20</f>
        <v>618.00003175109202</v>
      </c>
      <c r="L31" s="6">
        <f>'Rate Class Customer Model'!F21</f>
        <v>605.11857712799974</v>
      </c>
      <c r="M31" s="6">
        <f>'Rate Class Customer Model'!F22</f>
        <v>592.50562066782277</v>
      </c>
      <c r="N31" s="54"/>
      <c r="O31" s="54"/>
    </row>
    <row r="32" spans="1:15" x14ac:dyDescent="0.2">
      <c r="A32" t="s">
        <v>22</v>
      </c>
      <c r="B32" s="6">
        <f>'Rate Class Energy Model'!L3</f>
        <v>667141.85</v>
      </c>
      <c r="C32" s="6">
        <f>'Rate Class Energy Model'!L4</f>
        <v>631149.96201329515</v>
      </c>
      <c r="D32" s="6">
        <f>'Rate Class Energy Model'!L5</f>
        <v>606042.11775878421</v>
      </c>
      <c r="E32" s="6">
        <f>'Rate Class Energy Model'!L6</f>
        <v>565913</v>
      </c>
      <c r="F32" s="6">
        <f>'Rate Class Energy Model'!L7</f>
        <v>525914.77999999991</v>
      </c>
      <c r="G32" s="6">
        <f>'Rate Class Energy Model'!L8</f>
        <v>509735.7</v>
      </c>
      <c r="H32" s="6">
        <f>'Rate Class Energy Model'!L9</f>
        <v>499744.99</v>
      </c>
      <c r="I32" s="6">
        <f>'Rate Class Energy Model'!L10</f>
        <v>492156.56</v>
      </c>
      <c r="J32" s="6">
        <f>'Rate Class Energy Model'!L11</f>
        <v>450678.16</v>
      </c>
      <c r="K32" s="55">
        <f>'Rate Class Energy Model'!L12</f>
        <v>427408.11085004313</v>
      </c>
      <c r="L32" s="55">
        <f>'Rate Class Energy Model'!L32</f>
        <v>418499.31165490992</v>
      </c>
      <c r="M32" s="55">
        <f>'Rate Class Energy Model'!L33</f>
        <v>409776.20548029832</v>
      </c>
      <c r="N32" s="54"/>
      <c r="O32" s="54"/>
    </row>
    <row r="33" spans="1:15" x14ac:dyDescent="0.2">
      <c r="A33" t="s">
        <v>23</v>
      </c>
      <c r="B33" s="6">
        <f>'Rate Class Load Model'!C2</f>
        <v>2173.14</v>
      </c>
      <c r="C33" s="6">
        <f>'Rate Class Load Model'!C3</f>
        <v>2037.9700000000007</v>
      </c>
      <c r="D33" s="6">
        <f>'Rate Class Load Model'!C4</f>
        <v>1951.2900000000013</v>
      </c>
      <c r="E33" s="6">
        <f>'Rate Class Load Model'!C5</f>
        <v>1856</v>
      </c>
      <c r="F33" s="6">
        <f>'Rate Class Load Model'!C6</f>
        <v>1722.9099999999999</v>
      </c>
      <c r="G33" s="6">
        <f>'Rate Class Load Model'!C7</f>
        <v>1675.86</v>
      </c>
      <c r="H33" s="6">
        <f>'Rate Class Load Model'!C8</f>
        <v>1636.3300000000002</v>
      </c>
      <c r="I33" s="6">
        <f>'Rate Class Load Model'!C9</f>
        <v>1599.82</v>
      </c>
      <c r="J33" s="6">
        <f>'Rate Class Load Model'!C10</f>
        <v>1477.68</v>
      </c>
      <c r="K33" s="55">
        <f>'Rate Class Load Model'!C11</f>
        <v>1419.38</v>
      </c>
      <c r="L33" s="55">
        <f>'Rate Class Load Model'!C12</f>
        <v>1367.4102681762022</v>
      </c>
      <c r="M33" s="55">
        <f>'Rate Class Load Model'!C13</f>
        <v>1338.908273976052</v>
      </c>
      <c r="N33" s="54"/>
      <c r="O33" s="54"/>
    </row>
    <row r="34" spans="1:15" x14ac:dyDescent="0.2">
      <c r="C34" s="6"/>
      <c r="D34" s="6"/>
      <c r="E34" s="6"/>
      <c r="F34" s="6"/>
      <c r="G34" s="6"/>
      <c r="H34" s="6"/>
      <c r="I34" s="6"/>
      <c r="J34" s="6"/>
      <c r="N34" s="33"/>
    </row>
    <row r="35" spans="1:15" x14ac:dyDescent="0.2">
      <c r="A35" s="25" t="str">
        <f>'Rate Class Energy Model'!M2</f>
        <v xml:space="preserve">Street Lighting </v>
      </c>
      <c r="B35" s="1"/>
      <c r="C35" s="1"/>
      <c r="E35" s="1"/>
      <c r="H35" s="6"/>
      <c r="N35" s="33"/>
    </row>
    <row r="36" spans="1:15" x14ac:dyDescent="0.2">
      <c r="A36" s="39" t="s">
        <v>159</v>
      </c>
      <c r="B36" s="6">
        <f>'Rate Class Customer Model'!G11</f>
        <v>5718.0000013756717</v>
      </c>
      <c r="C36" s="6">
        <f>'Rate Class Customer Model'!G12</f>
        <v>5739.0000001301232</v>
      </c>
      <c r="D36" s="6">
        <f>'Rate Class Customer Model'!G13</f>
        <v>5759.0000009844471</v>
      </c>
      <c r="E36" s="6">
        <f>'Rate Class Customer Model'!G14</f>
        <v>5862.0000169233763</v>
      </c>
      <c r="F36" s="6">
        <f>'Rate Class Customer Model'!G15</f>
        <v>5978.0000050757508</v>
      </c>
      <c r="G36" s="6">
        <f>'Rate Class Customer Model'!G16</f>
        <v>6008.999999975149</v>
      </c>
      <c r="H36" s="6">
        <f>'Rate Class Customer Model'!G17</f>
        <v>6014.0000002044408</v>
      </c>
      <c r="I36" s="6">
        <f>'Rate Class Customer Model'!G18</f>
        <v>6055.000004176286</v>
      </c>
      <c r="J36" s="6">
        <f>'Rate Class Customer Model'!G19</f>
        <v>6146.0000101049836</v>
      </c>
      <c r="K36" s="6">
        <f>'Rate Class Customer Model'!G20</f>
        <v>6154.9999939099025</v>
      </c>
      <c r="L36" s="6">
        <f>'Rate Class Customer Model'!G21</f>
        <v>6205.5720752614961</v>
      </c>
      <c r="M36" s="6">
        <f>'Rate Class Customer Model'!G22</f>
        <v>6256.5596782076891</v>
      </c>
      <c r="N36" s="54"/>
      <c r="O36" s="54"/>
    </row>
    <row r="37" spans="1:15" x14ac:dyDescent="0.2">
      <c r="A37" t="s">
        <v>22</v>
      </c>
      <c r="B37" s="6">
        <f>'Rate Class Energy Model'!M3</f>
        <v>2159285.8400000003</v>
      </c>
      <c r="C37" s="6">
        <f>'Rate Class Energy Model'!M4</f>
        <v>1392668.2526115859</v>
      </c>
      <c r="D37" s="6">
        <f>'Rate Class Energy Model'!M5</f>
        <v>1390046.9705603039</v>
      </c>
      <c r="E37" s="6">
        <f>'Rate Class Energy Model'!M6</f>
        <v>1401778</v>
      </c>
      <c r="F37" s="6">
        <f>'Rate Class Energy Model'!M7</f>
        <v>1425844.32</v>
      </c>
      <c r="G37" s="6">
        <f>'Rate Class Energy Model'!M8</f>
        <v>1423813.54</v>
      </c>
      <c r="H37" s="6">
        <f>'Rate Class Energy Model'!M9</f>
        <v>1423716.0799999998</v>
      </c>
      <c r="I37" s="6">
        <f>'Rate Class Energy Model'!M10</f>
        <v>1430413.7999999998</v>
      </c>
      <c r="J37" s="6">
        <f>'Rate Class Energy Model'!M11</f>
        <v>1456996.37</v>
      </c>
      <c r="K37" s="55">
        <f>'Rate Class Energy Model'!M12</f>
        <v>1437972.6529836564</v>
      </c>
      <c r="L37" s="55">
        <f>'Rate Class Energy Model'!M32</f>
        <v>1449787.6440575817</v>
      </c>
      <c r="M37" s="55">
        <f>'Rate Class Energy Model'!M33</f>
        <v>1461699.7120917588</v>
      </c>
      <c r="N37" s="54"/>
      <c r="O37" s="54"/>
    </row>
    <row r="38" spans="1:15" x14ac:dyDescent="0.2">
      <c r="A38" t="s">
        <v>23</v>
      </c>
      <c r="B38" s="6">
        <f>'Rate Class Load Model'!D2</f>
        <v>6413.35</v>
      </c>
      <c r="C38" s="6">
        <f>'Rate Class Load Model'!D3</f>
        <v>4209.0200000000004</v>
      </c>
      <c r="D38" s="6">
        <f>'Rate Class Load Model'!D4</f>
        <v>4251.8</v>
      </c>
      <c r="E38" s="6">
        <f>'Rate Class Load Model'!D5</f>
        <v>4286</v>
      </c>
      <c r="F38" s="6">
        <f>'Rate Class Load Model'!D6</f>
        <v>4348.49</v>
      </c>
      <c r="G38" s="6">
        <f>'Rate Class Load Model'!D7</f>
        <v>4352.42</v>
      </c>
      <c r="H38" s="6">
        <f>'Rate Class Load Model'!D8</f>
        <v>4352.42</v>
      </c>
      <c r="I38" s="6">
        <f>'Rate Class Load Model'!D9</f>
        <v>4370.1400000000003</v>
      </c>
      <c r="J38" s="6">
        <f>'Rate Class Load Model'!D10</f>
        <v>4442.1400000000003</v>
      </c>
      <c r="K38" s="55">
        <f>'Rate Class Load Model'!D11</f>
        <v>4393</v>
      </c>
      <c r="L38" s="55">
        <f>'Rate Class Load Model'!D12</f>
        <v>4411.9065485222291</v>
      </c>
      <c r="M38" s="55">
        <f>'Rate Class Load Model'!D13</f>
        <v>4448.1566374106551</v>
      </c>
      <c r="N38" s="54"/>
      <c r="O38" s="54"/>
    </row>
    <row r="39" spans="1:15" x14ac:dyDescent="0.2">
      <c r="E39" s="6"/>
      <c r="F39" s="6"/>
      <c r="H39" s="6"/>
      <c r="I39" s="6"/>
      <c r="J39" s="6"/>
    </row>
    <row r="40" spans="1:15" x14ac:dyDescent="0.2">
      <c r="A40" s="25" t="str">
        <f>'Rate Class Energy Model'!N2</f>
        <v>Embedded Distributor</v>
      </c>
      <c r="B40" s="1"/>
      <c r="D40" s="1"/>
      <c r="H40" s="16"/>
    </row>
    <row r="41" spans="1:15" x14ac:dyDescent="0.2">
      <c r="A41" s="39" t="s">
        <v>95</v>
      </c>
      <c r="B41" s="6">
        <f>'Rate Class Customer Model'!H11</f>
        <v>1</v>
      </c>
      <c r="C41" s="6">
        <f>'Rate Class Customer Model'!H12</f>
        <v>1</v>
      </c>
      <c r="D41" s="6">
        <f>'Rate Class Customer Model'!H13</f>
        <v>1</v>
      </c>
      <c r="E41" s="6">
        <f>'Rate Class Customer Model'!H14</f>
        <v>1</v>
      </c>
      <c r="F41" s="6">
        <f>'Rate Class Customer Model'!H15</f>
        <v>1</v>
      </c>
      <c r="G41" s="6">
        <f>'Rate Class Customer Model'!H16</f>
        <v>1</v>
      </c>
      <c r="H41" s="6">
        <f>'Rate Class Customer Model'!H17</f>
        <v>1</v>
      </c>
      <c r="I41" s="6">
        <f>'Rate Class Customer Model'!H18</f>
        <v>1</v>
      </c>
      <c r="J41" s="6">
        <f>'Rate Class Customer Model'!H19</f>
        <v>1</v>
      </c>
      <c r="K41" s="6">
        <f>'Rate Class Customer Model'!H20</f>
        <v>1</v>
      </c>
      <c r="L41" s="6">
        <f>'Rate Class Customer Model'!H21</f>
        <v>1</v>
      </c>
      <c r="M41" s="6">
        <f>'Rate Class Customer Model'!H22</f>
        <v>1</v>
      </c>
      <c r="N41" s="54"/>
      <c r="O41" s="54"/>
    </row>
    <row r="42" spans="1:15" x14ac:dyDescent="0.2">
      <c r="A42" t="s">
        <v>22</v>
      </c>
      <c r="B42" s="6">
        <f>'Rate Class Energy Model'!N3</f>
        <v>5604942.4199999999</v>
      </c>
      <c r="C42" s="6">
        <f>'Rate Class Energy Model'!N4</f>
        <v>4768119.9723423496</v>
      </c>
      <c r="D42" s="6">
        <f>'Rate Class Energy Model'!N5</f>
        <v>5218945.2166489204</v>
      </c>
      <c r="E42" s="6">
        <f>'Rate Class Energy Model'!N6</f>
        <v>5234524</v>
      </c>
      <c r="F42" s="6">
        <f>'Rate Class Energy Model'!N7</f>
        <v>5321960</v>
      </c>
      <c r="G42" s="6">
        <f>'Rate Class Energy Model'!N8</f>
        <v>5543931.4199999999</v>
      </c>
      <c r="H42" s="6">
        <f>'Rate Class Energy Model'!N9</f>
        <v>5531274.6699999999</v>
      </c>
      <c r="I42" s="6">
        <f>'Rate Class Energy Model'!N10</f>
        <v>5519642.0099999998</v>
      </c>
      <c r="J42" s="6">
        <f>'Rate Class Energy Model'!N11</f>
        <v>5640447.3899999997</v>
      </c>
      <c r="K42" s="55">
        <f>'Rate Class Energy Model'!N12</f>
        <v>5636846.5921088494</v>
      </c>
      <c r="L42" s="55">
        <f>'Rate Class Energy Model'!N32</f>
        <v>5636846.5921088494</v>
      </c>
      <c r="M42" s="55">
        <f>'Rate Class Energy Model'!N33</f>
        <v>5636846.5921088494</v>
      </c>
      <c r="N42" s="54"/>
      <c r="O42" s="54"/>
    </row>
    <row r="43" spans="1:15" x14ac:dyDescent="0.2">
      <c r="A43" t="s">
        <v>23</v>
      </c>
      <c r="B43" s="6">
        <f>'Rate Class Load Model'!E2</f>
        <v>16375.72</v>
      </c>
      <c r="C43" s="6">
        <f>'Rate Class Load Model'!E3</f>
        <v>12501.41</v>
      </c>
      <c r="D43" s="6">
        <f>'Rate Class Load Model'!E4</f>
        <v>13532.36</v>
      </c>
      <c r="E43" s="6">
        <f>'Rate Class Load Model'!E5</f>
        <v>13276</v>
      </c>
      <c r="F43" s="6">
        <f>'Rate Class Load Model'!E6</f>
        <v>14339.56</v>
      </c>
      <c r="G43" s="6">
        <f>'Rate Class Load Model'!E7</f>
        <v>14862.9</v>
      </c>
      <c r="H43" s="6">
        <f>'Rate Class Load Model'!E8</f>
        <v>15056.95</v>
      </c>
      <c r="I43" s="6">
        <f>'Rate Class Load Model'!E9</f>
        <v>14942.19</v>
      </c>
      <c r="J43" s="6">
        <f>'Rate Class Load Model'!E10</f>
        <v>15142.87</v>
      </c>
      <c r="K43" s="55">
        <f>'Rate Class Load Model'!E11</f>
        <v>14981</v>
      </c>
      <c r="L43" s="55">
        <f>'Rate Class Load Model'!E12</f>
        <v>15117.837287728271</v>
      </c>
      <c r="M43" s="55">
        <f>'Rate Class Load Model'!E13</f>
        <v>15117.837287728271</v>
      </c>
      <c r="N43" s="54"/>
      <c r="O43" s="54"/>
    </row>
    <row r="46" spans="1:15" x14ac:dyDescent="0.2">
      <c r="A46" s="25" t="s">
        <v>7</v>
      </c>
      <c r="B46" s="25"/>
      <c r="C46" s="25"/>
      <c r="D46" s="25"/>
      <c r="E46" s="1"/>
      <c r="H46" s="40"/>
    </row>
    <row r="47" spans="1:15" x14ac:dyDescent="0.2">
      <c r="A47" t="s">
        <v>25</v>
      </c>
      <c r="B47" s="6">
        <f>B14+B18+B22+B27+B31+B36+B41</f>
        <v>35187.000273416626</v>
      </c>
      <c r="C47" s="6">
        <f t="shared" ref="C47:M47" si="1">C14+C18+C22+C27+C31+C36+C41</f>
        <v>35337.999739656036</v>
      </c>
      <c r="D47" s="6">
        <f t="shared" si="1"/>
        <v>35555.000141513534</v>
      </c>
      <c r="E47" s="6">
        <f t="shared" si="1"/>
        <v>35886.000611500567</v>
      </c>
      <c r="F47" s="6">
        <f t="shared" si="1"/>
        <v>36253.999896528367</v>
      </c>
      <c r="G47" s="6">
        <f t="shared" si="1"/>
        <v>36575.000577268031</v>
      </c>
      <c r="H47" s="6">
        <f t="shared" si="1"/>
        <v>36932.000592738696</v>
      </c>
      <c r="I47" s="6">
        <f t="shared" si="1"/>
        <v>37294.000866161856</v>
      </c>
      <c r="J47" s="6">
        <f t="shared" si="1"/>
        <v>37626.999631982319</v>
      </c>
      <c r="K47" s="6">
        <f t="shared" si="1"/>
        <v>37843.999482704116</v>
      </c>
      <c r="L47" s="6">
        <f t="shared" si="1"/>
        <v>38155.152479312696</v>
      </c>
      <c r="M47" s="6">
        <f t="shared" si="1"/>
        <v>38469.569230516638</v>
      </c>
      <c r="N47" s="54"/>
      <c r="O47" s="54"/>
    </row>
    <row r="48" spans="1:15" x14ac:dyDescent="0.2">
      <c r="A48" t="s">
        <v>22</v>
      </c>
      <c r="B48" s="6">
        <f>B15+B19+B23+B28+B37+B42+B32</f>
        <v>466965821.50999999</v>
      </c>
      <c r="C48" s="6">
        <f t="shared" ref="C48:M48" si="2">C15+C19+C23+C28+C37+C42+C32</f>
        <v>452799209.12997222</v>
      </c>
      <c r="D48" s="6">
        <f t="shared" si="2"/>
        <v>476777176.6093052</v>
      </c>
      <c r="E48" s="6">
        <f t="shared" si="2"/>
        <v>468336926</v>
      </c>
      <c r="F48" s="6">
        <f t="shared" si="2"/>
        <v>461631476.96999991</v>
      </c>
      <c r="G48" s="6">
        <f t="shared" si="2"/>
        <v>468858052.86000001</v>
      </c>
      <c r="H48" s="6">
        <f t="shared" si="2"/>
        <v>482972982.97999996</v>
      </c>
      <c r="I48" s="6">
        <f t="shared" si="2"/>
        <v>476879269.06999999</v>
      </c>
      <c r="J48" s="6">
        <f t="shared" si="2"/>
        <v>489019209.53999996</v>
      </c>
      <c r="K48" s="6">
        <f t="shared" si="2"/>
        <v>503346495.24381894</v>
      </c>
      <c r="L48" s="6">
        <f t="shared" si="2"/>
        <v>492328477.17528081</v>
      </c>
      <c r="M48" s="6">
        <f t="shared" si="2"/>
        <v>493220666.93370426</v>
      </c>
      <c r="N48" s="54"/>
      <c r="O48" s="54"/>
    </row>
    <row r="49" spans="1:15" x14ac:dyDescent="0.2">
      <c r="A49" t="s">
        <v>24</v>
      </c>
      <c r="B49" s="6">
        <f>B24+B33+B38+B43</f>
        <v>604998.42999999993</v>
      </c>
      <c r="C49" s="6">
        <f t="shared" ref="C49:M49" si="3">C24+C33+C38+C43</f>
        <v>607120.19999999995</v>
      </c>
      <c r="D49" s="6">
        <f t="shared" si="3"/>
        <v>599986.39000000013</v>
      </c>
      <c r="E49" s="6">
        <f t="shared" si="3"/>
        <v>573385</v>
      </c>
      <c r="F49" s="6">
        <f t="shared" si="3"/>
        <v>547894.79000000015</v>
      </c>
      <c r="G49" s="6">
        <f t="shared" si="3"/>
        <v>581423.14</v>
      </c>
      <c r="H49" s="6">
        <f t="shared" si="3"/>
        <v>591372.63</v>
      </c>
      <c r="I49" s="6">
        <f t="shared" si="3"/>
        <v>600126.3899999999</v>
      </c>
      <c r="J49" s="6">
        <f t="shared" si="3"/>
        <v>598974.82000000007</v>
      </c>
      <c r="K49" s="6">
        <f t="shared" si="3"/>
        <v>588513.84000000008</v>
      </c>
      <c r="L49" s="6">
        <f t="shared" si="3"/>
        <v>585817.55208002543</v>
      </c>
      <c r="M49" s="6">
        <f t="shared" si="3"/>
        <v>582272.85626355791</v>
      </c>
      <c r="N49" s="54"/>
      <c r="O49" s="54"/>
    </row>
    <row r="50" spans="1:15" x14ac:dyDescent="0.2">
      <c r="E50" s="1"/>
      <c r="F50" s="1"/>
    </row>
    <row r="51" spans="1:15" x14ac:dyDescent="0.2">
      <c r="A51" t="s">
        <v>25</v>
      </c>
      <c r="B51" s="6">
        <f>'Rate Class Customer Model'!I11</f>
        <v>35187.000273416626</v>
      </c>
      <c r="C51" s="6">
        <f>'Rate Class Customer Model'!I12</f>
        <v>35337.999739656036</v>
      </c>
      <c r="D51" s="6">
        <f>'Rate Class Customer Model'!I13</f>
        <v>35555.000141513534</v>
      </c>
      <c r="E51" s="6">
        <f>'Rate Class Customer Model'!I14</f>
        <v>35886.000611500567</v>
      </c>
      <c r="F51" s="6">
        <f>'Rate Class Customer Model'!I15</f>
        <v>36253.999896528367</v>
      </c>
      <c r="G51" s="6">
        <f>'Rate Class Customer Model'!I16</f>
        <v>36575.000577268031</v>
      </c>
      <c r="H51" s="6">
        <f>'Rate Class Customer Model'!I17</f>
        <v>36932.000592738696</v>
      </c>
      <c r="I51" s="6">
        <f>'Rate Class Customer Model'!I18</f>
        <v>37294.000866161856</v>
      </c>
      <c r="J51" s="6">
        <f>'Rate Class Customer Model'!I19</f>
        <v>37626.999631982319</v>
      </c>
      <c r="K51" s="6">
        <f>'Rate Class Customer Model'!I20</f>
        <v>37843.999482704116</v>
      </c>
      <c r="L51" s="6">
        <f>'Rate Class Customer Model'!I21</f>
        <v>38155.152479312696</v>
      </c>
      <c r="M51" s="6">
        <f>'Rate Class Customer Model'!I22</f>
        <v>38469.569230516638</v>
      </c>
      <c r="N51" s="54"/>
      <c r="O51" s="54"/>
    </row>
    <row r="52" spans="1:15" x14ac:dyDescent="0.2">
      <c r="A52" t="s">
        <v>22</v>
      </c>
      <c r="B52" s="55">
        <f>'Rate Class Energy Model'!G3</f>
        <v>466965821.50999999</v>
      </c>
      <c r="C52" s="55">
        <f>'Rate Class Energy Model'!G4</f>
        <v>452799209.12997222</v>
      </c>
      <c r="D52" s="55">
        <f>'Rate Class Energy Model'!G5</f>
        <v>476777176.6093052</v>
      </c>
      <c r="E52" s="55">
        <f>'Rate Class Energy Model'!G6</f>
        <v>468336926</v>
      </c>
      <c r="F52" s="55">
        <f>'Rate Class Energy Model'!G7</f>
        <v>461631476.96999991</v>
      </c>
      <c r="G52" s="55">
        <f>'Rate Class Energy Model'!G8</f>
        <v>468858052.86000001</v>
      </c>
      <c r="H52" s="55">
        <f>'Rate Class Energy Model'!G9</f>
        <v>482972982.97999996</v>
      </c>
      <c r="I52" s="55">
        <f>'Rate Class Energy Model'!G10</f>
        <v>476879269.06999999</v>
      </c>
      <c r="J52" s="55">
        <f>'Rate Class Energy Model'!G11</f>
        <v>489019209.53999996</v>
      </c>
      <c r="K52" s="55">
        <f>'Rate Class Energy Model'!G12</f>
        <v>503346495.24381894</v>
      </c>
      <c r="L52" s="55">
        <f>'Rate Class Energy Model'!P32</f>
        <v>492328477.17528081</v>
      </c>
      <c r="M52" s="55">
        <f>'Rate Class Energy Model'!P33</f>
        <v>493220666.93370426</v>
      </c>
      <c r="N52" s="54"/>
      <c r="O52" s="54"/>
    </row>
    <row r="53" spans="1:15" x14ac:dyDescent="0.2">
      <c r="A53" t="s">
        <v>24</v>
      </c>
      <c r="B53" s="6">
        <f>'Rate Class Load Model'!F2</f>
        <v>604998.42999999993</v>
      </c>
      <c r="C53" s="6">
        <f>'Rate Class Load Model'!F3</f>
        <v>607120.19999999995</v>
      </c>
      <c r="D53" s="6">
        <f>'Rate Class Load Model'!F4</f>
        <v>599986.39000000013</v>
      </c>
      <c r="E53" s="6">
        <f>'Rate Class Load Model'!F5</f>
        <v>573385</v>
      </c>
      <c r="F53" s="6">
        <f>'Rate Class Load Model'!F6</f>
        <v>547894.79000000015</v>
      </c>
      <c r="G53" s="6">
        <f>'Rate Class Load Model'!F7</f>
        <v>581423.14</v>
      </c>
      <c r="H53" s="6">
        <f>'Rate Class Load Model'!F8</f>
        <v>591372.63</v>
      </c>
      <c r="I53" s="6">
        <f>'Rate Class Load Model'!F9</f>
        <v>600126.3899999999</v>
      </c>
      <c r="J53" s="6">
        <f>'Rate Class Load Model'!F10</f>
        <v>598974.82000000007</v>
      </c>
      <c r="K53" s="55">
        <f>'Rate Class Load Model'!F11</f>
        <v>588513.84000000008</v>
      </c>
      <c r="L53" s="55">
        <f>'Rate Class Load Model'!F12</f>
        <v>585817.55208002543</v>
      </c>
      <c r="M53" s="55">
        <f>'Rate Class Load Model'!F13</f>
        <v>582272.85626355791</v>
      </c>
      <c r="N53" s="54"/>
      <c r="O53" s="54"/>
    </row>
    <row r="55" spans="1:15" hidden="1" x14ac:dyDescent="0.2">
      <c r="A55" t="s">
        <v>25</v>
      </c>
      <c r="H55" s="6">
        <f>'Rate Class Load Model'!F9</f>
        <v>600126.3899999999</v>
      </c>
      <c r="I55" s="6" t="e">
        <f>#REF!</f>
        <v>#REF!</v>
      </c>
      <c r="J55" s="6"/>
      <c r="K55" s="6"/>
      <c r="L55" s="6" t="e">
        <f>#REF!</f>
        <v>#REF!</v>
      </c>
      <c r="M55" s="6" t="e">
        <f>#REF!</f>
        <v>#REF!</v>
      </c>
    </row>
    <row r="56" spans="1:15" hidden="1" x14ac:dyDescent="0.2">
      <c r="A56" t="s">
        <v>22</v>
      </c>
      <c r="H56" s="6">
        <f>'Rate Class Load Model'!F10</f>
        <v>598974.82000000007</v>
      </c>
      <c r="I56" s="6" t="e">
        <f>#REF!</f>
        <v>#REF!</v>
      </c>
      <c r="J56" s="6"/>
      <c r="K56" s="6"/>
      <c r="L56" s="6" t="e">
        <f>#REF!</f>
        <v>#REF!</v>
      </c>
      <c r="M56" s="6" t="e">
        <f>#REF!</f>
        <v>#REF!</v>
      </c>
    </row>
    <row r="57" spans="1:15" hidden="1" x14ac:dyDescent="0.2">
      <c r="A57" t="s">
        <v>24</v>
      </c>
      <c r="H57" s="6">
        <f>'Rate Class Load Model'!F14</f>
        <v>0</v>
      </c>
      <c r="I57" s="6" t="e">
        <f>#REF!</f>
        <v>#REF!</v>
      </c>
      <c r="J57" s="6"/>
      <c r="K57" s="6"/>
      <c r="L57" s="6" t="e">
        <f>#REF!</f>
        <v>#REF!</v>
      </c>
      <c r="M57" s="6" t="e">
        <f>#REF!</f>
        <v>#REF!</v>
      </c>
    </row>
    <row r="58" spans="1:15" hidden="1" x14ac:dyDescent="0.2">
      <c r="H58" s="6">
        <f>'Rate Class Load Model'!F15</f>
        <v>0</v>
      </c>
    </row>
    <row r="59" spans="1:15" hidden="1" x14ac:dyDescent="0.2">
      <c r="A59" t="s">
        <v>25</v>
      </c>
      <c r="H59" s="6" t="e">
        <f>'Rate Class Load Model'!#REF!</f>
        <v>#REF!</v>
      </c>
      <c r="I59" s="6" t="e">
        <f>#REF!-I55</f>
        <v>#REF!</v>
      </c>
      <c r="J59" s="6"/>
      <c r="K59" s="6"/>
      <c r="L59" s="6" t="e">
        <f>#REF!-L55</f>
        <v>#REF!</v>
      </c>
      <c r="M59" s="6" t="e">
        <f>#REF!-M55</f>
        <v>#REF!</v>
      </c>
    </row>
    <row r="60" spans="1:15" hidden="1" x14ac:dyDescent="0.2">
      <c r="A60" t="s">
        <v>22</v>
      </c>
      <c r="H60" s="6" t="e">
        <f>'Rate Class Load Model'!#REF!</f>
        <v>#REF!</v>
      </c>
      <c r="I60" s="6" t="e">
        <f>#REF!-I56</f>
        <v>#REF!</v>
      </c>
      <c r="J60" s="6"/>
      <c r="K60" s="6"/>
      <c r="L60" s="6" t="e">
        <f>#REF!-L56</f>
        <v>#REF!</v>
      </c>
      <c r="M60" s="6" t="e">
        <f>#REF!-M56</f>
        <v>#REF!</v>
      </c>
    </row>
    <row r="61" spans="1:15" hidden="1" x14ac:dyDescent="0.2">
      <c r="A61" t="s">
        <v>24</v>
      </c>
      <c r="H61" s="6" t="e">
        <f>'Rate Class Load Model'!#REF!</f>
        <v>#REF!</v>
      </c>
      <c r="I61" s="6" t="e">
        <f>#REF!-I57</f>
        <v>#REF!</v>
      </c>
      <c r="J61" s="6"/>
      <c r="K61" s="6"/>
      <c r="L61" s="6" t="e">
        <f>#REF!-L57</f>
        <v>#REF!</v>
      </c>
      <c r="M61" s="6" t="e">
        <f>#REF!-M57</f>
        <v>#REF!</v>
      </c>
    </row>
    <row r="62" spans="1:15" hidden="1" x14ac:dyDescent="0.2">
      <c r="H62" s="6">
        <f>'Rate Class Load Model'!F16</f>
        <v>0</v>
      </c>
    </row>
    <row r="63" spans="1:15" x14ac:dyDescent="0.2">
      <c r="A63" s="39" t="s">
        <v>12</v>
      </c>
      <c r="B63" s="39"/>
      <c r="C63" s="39"/>
      <c r="D63" s="39"/>
      <c r="H63" s="6"/>
    </row>
    <row r="64" spans="1:15" x14ac:dyDescent="0.2">
      <c r="A64" t="s">
        <v>25</v>
      </c>
      <c r="B64" s="6">
        <f>B47-B51</f>
        <v>0</v>
      </c>
      <c r="C64" s="6">
        <f t="shared" ref="C64:M64" si="4">C47-C51</f>
        <v>0</v>
      </c>
      <c r="D64" s="6">
        <f t="shared" si="4"/>
        <v>0</v>
      </c>
      <c r="E64" s="6">
        <f t="shared" si="4"/>
        <v>0</v>
      </c>
      <c r="F64" s="6">
        <f t="shared" si="4"/>
        <v>0</v>
      </c>
      <c r="G64" s="6">
        <f t="shared" si="4"/>
        <v>0</v>
      </c>
      <c r="H64" s="6">
        <f t="shared" si="4"/>
        <v>0</v>
      </c>
      <c r="I64" s="6">
        <f t="shared" si="4"/>
        <v>0</v>
      </c>
      <c r="J64" s="6">
        <f t="shared" si="4"/>
        <v>0</v>
      </c>
      <c r="K64" s="6">
        <f t="shared" si="4"/>
        <v>0</v>
      </c>
      <c r="L64" s="6">
        <f t="shared" si="4"/>
        <v>0</v>
      </c>
      <c r="M64" s="6">
        <f t="shared" si="4"/>
        <v>0</v>
      </c>
    </row>
    <row r="65" spans="1:13" x14ac:dyDescent="0.2">
      <c r="A65" t="s">
        <v>22</v>
      </c>
      <c r="B65" s="55">
        <f>B48-B52</f>
        <v>0</v>
      </c>
      <c r="C65" s="55">
        <f t="shared" ref="C65:M65" si="5">C48-C52</f>
        <v>0</v>
      </c>
      <c r="D65" s="55">
        <f t="shared" si="5"/>
        <v>0</v>
      </c>
      <c r="E65" s="55">
        <f t="shared" si="5"/>
        <v>0</v>
      </c>
      <c r="F65" s="55">
        <f t="shared" si="5"/>
        <v>0</v>
      </c>
      <c r="G65" s="55">
        <f t="shared" si="5"/>
        <v>0</v>
      </c>
      <c r="H65" s="55">
        <f t="shared" si="5"/>
        <v>0</v>
      </c>
      <c r="I65" s="55">
        <f t="shared" si="5"/>
        <v>0</v>
      </c>
      <c r="J65" s="55">
        <f t="shared" si="5"/>
        <v>0</v>
      </c>
      <c r="K65" s="55">
        <f t="shared" si="5"/>
        <v>0</v>
      </c>
      <c r="L65" s="55">
        <f>L48-L52</f>
        <v>0</v>
      </c>
      <c r="M65" s="55">
        <f t="shared" si="5"/>
        <v>0</v>
      </c>
    </row>
    <row r="66" spans="1:13" x14ac:dyDescent="0.2">
      <c r="A66" t="s">
        <v>24</v>
      </c>
      <c r="B66" s="6">
        <f>B49-B53</f>
        <v>0</v>
      </c>
      <c r="C66" s="6">
        <f t="shared" ref="C66:M66" si="6">C49-C53</f>
        <v>0</v>
      </c>
      <c r="D66" s="6">
        <f t="shared" si="6"/>
        <v>0</v>
      </c>
      <c r="E66" s="6">
        <f t="shared" si="6"/>
        <v>0</v>
      </c>
      <c r="F66" s="6">
        <f t="shared" si="6"/>
        <v>0</v>
      </c>
      <c r="G66" s="6">
        <f t="shared" si="6"/>
        <v>0</v>
      </c>
      <c r="H66" s="6">
        <f t="shared" si="6"/>
        <v>0</v>
      </c>
      <c r="I66" s="6">
        <f t="shared" si="6"/>
        <v>0</v>
      </c>
      <c r="J66" s="6">
        <f t="shared" si="6"/>
        <v>0</v>
      </c>
      <c r="K66" s="6">
        <f t="shared" si="6"/>
        <v>0</v>
      </c>
      <c r="L66" s="6">
        <f t="shared" si="6"/>
        <v>0</v>
      </c>
      <c r="M66" s="6">
        <f t="shared" si="6"/>
        <v>0</v>
      </c>
    </row>
  </sheetData>
  <phoneticPr fontId="0" type="noConversion"/>
  <pageMargins left="0.7" right="0.7" top="0.75" bottom="0.75" header="0.3" footer="0.3"/>
  <pageSetup paperSize="5" scale="37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A0242-EF32-4FE0-859B-E0C4A9DC8D14}">
  <sheetPr>
    <tabColor rgb="FF00B0F0"/>
  </sheetPr>
  <dimension ref="A1:AL196"/>
  <sheetViews>
    <sheetView view="pageBreakPreview" topLeftCell="E131" zoomScale="85" zoomScaleNormal="85" zoomScaleSheetLayoutView="85" workbookViewId="0">
      <selection activeCell="C22" sqref="C22"/>
    </sheetView>
  </sheetViews>
  <sheetFormatPr defaultRowHeight="12.75" x14ac:dyDescent="0.2"/>
  <cols>
    <col min="1" max="1" width="11.7109375" style="24" customWidth="1"/>
    <col min="2" max="7" width="16.7109375" style="6" customWidth="1"/>
    <col min="8" max="8" width="11.5703125" style="1" customWidth="1"/>
    <col min="9" max="10" width="13.42578125" style="1" customWidth="1"/>
    <col min="11" max="11" width="10.28515625" style="52" customWidth="1"/>
    <col min="12" max="14" width="13" style="1" customWidth="1"/>
    <col min="15" max="15" width="13" style="1" hidden="1" customWidth="1"/>
    <col min="16" max="16" width="13" style="1" customWidth="1"/>
    <col min="17" max="17" width="15.5703125" style="1" bestFit="1" customWidth="1"/>
    <col min="18" max="18" width="16" style="1" customWidth="1"/>
    <col min="19" max="19" width="18.28515625" style="1" bestFit="1" customWidth="1"/>
    <col min="20" max="21" width="18.42578125" style="1" bestFit="1" customWidth="1"/>
    <col min="22" max="22" width="21.7109375" style="1" customWidth="1"/>
    <col min="23" max="23" width="18.42578125" style="1" bestFit="1" customWidth="1"/>
    <col min="24" max="24" width="25.28515625" customWidth="1"/>
    <col min="25" max="25" width="21" customWidth="1"/>
    <col min="26" max="26" width="18.42578125" customWidth="1"/>
    <col min="27" max="31" width="12.5703125" customWidth="1"/>
    <col min="32" max="32" width="12.7109375" bestFit="1" customWidth="1"/>
    <col min="33" max="33" width="12.5703125" customWidth="1"/>
    <col min="34" max="34" width="42.42578125" bestFit="1" customWidth="1"/>
    <col min="35" max="35" width="15.5703125" bestFit="1" customWidth="1"/>
    <col min="36" max="36" width="26.140625" bestFit="1" customWidth="1"/>
    <col min="37" max="37" width="23" bestFit="1" customWidth="1"/>
    <col min="40" max="40" width="40.5703125" bestFit="1" customWidth="1"/>
    <col min="41" max="41" width="42.7109375" bestFit="1" customWidth="1"/>
  </cols>
  <sheetData>
    <row r="1" spans="1:38" x14ac:dyDescent="0.2">
      <c r="D1" s="158"/>
      <c r="E1" s="148"/>
      <c r="AI1" s="98"/>
      <c r="AJ1" s="98"/>
      <c r="AK1" s="98"/>
      <c r="AL1" s="98"/>
    </row>
    <row r="2" spans="1:38" ht="38.25" x14ac:dyDescent="0.2">
      <c r="A2" s="93"/>
      <c r="B2" s="94" t="s">
        <v>49</v>
      </c>
      <c r="C2" s="94" t="s">
        <v>81</v>
      </c>
      <c r="D2" s="94" t="s">
        <v>84</v>
      </c>
      <c r="E2" s="94" t="s">
        <v>85</v>
      </c>
      <c r="F2" s="94" t="s">
        <v>86</v>
      </c>
      <c r="G2" s="94" t="s">
        <v>87</v>
      </c>
      <c r="H2" s="95" t="s">
        <v>2</v>
      </c>
      <c r="I2" s="95" t="s">
        <v>3</v>
      </c>
      <c r="J2" s="95" t="s">
        <v>64</v>
      </c>
      <c r="K2" s="96" t="s">
        <v>13</v>
      </c>
      <c r="L2" s="95" t="s">
        <v>78</v>
      </c>
      <c r="M2" s="95" t="s">
        <v>143</v>
      </c>
      <c r="N2" s="95" t="s">
        <v>144</v>
      </c>
      <c r="O2" s="95" t="s">
        <v>151</v>
      </c>
      <c r="P2" s="95" t="s">
        <v>8</v>
      </c>
      <c r="Q2" s="97" t="s">
        <v>88</v>
      </c>
      <c r="R2" s="95" t="s">
        <v>89</v>
      </c>
      <c r="S2" s="118" t="s">
        <v>90</v>
      </c>
      <c r="T2" s="119" t="s">
        <v>91</v>
      </c>
      <c r="U2" s="119" t="s">
        <v>92</v>
      </c>
      <c r="V2" s="119" t="s">
        <v>93</v>
      </c>
      <c r="W2"/>
      <c r="X2" s="39" t="s">
        <v>14</v>
      </c>
      <c r="AH2" s="98"/>
      <c r="AI2" s="98"/>
      <c r="AJ2" s="98"/>
      <c r="AK2" s="98"/>
    </row>
    <row r="3" spans="1:38" x14ac:dyDescent="0.2">
      <c r="A3" s="43">
        <v>42400</v>
      </c>
      <c r="B3" s="152" cm="1">
        <f t="array" ref="B3:B122">Inputs!D24:D143</f>
        <v>44500830.719999984</v>
      </c>
      <c r="C3" s="94"/>
      <c r="D3" s="44">
        <f>B3+C3</f>
        <v>44500830.719999984</v>
      </c>
      <c r="E3" s="94"/>
      <c r="F3" s="94"/>
      <c r="G3" s="139">
        <f>D3-E3-F3</f>
        <v>44500830.719999984</v>
      </c>
      <c r="H3" s="147">
        <v>419</v>
      </c>
      <c r="I3" s="147">
        <v>0</v>
      </c>
      <c r="J3" s="44">
        <v>31</v>
      </c>
      <c r="K3" s="142">
        <v>0</v>
      </c>
      <c r="L3" s="44" cm="1">
        <f t="array" ref="L3:L122">Inputs!C24:C143</f>
        <v>28641.195561045275</v>
      </c>
      <c r="M3" s="44">
        <v>0</v>
      </c>
      <c r="N3" s="44">
        <v>23524632</v>
      </c>
      <c r="O3" s="44">
        <v>0</v>
      </c>
      <c r="P3" s="44">
        <f>$Y$30+$Y$31*H3+$Y$32*I3+$Y$33*J3+$Y$34*K3+$Y$35*L3+$Y$36*M3+$Y$37*N3</f>
        <v>42083499.918310635</v>
      </c>
      <c r="Q3" s="29">
        <f t="shared" ref="Q3:Q34" si="0">P3-G3</f>
        <v>-2417330.8016893491</v>
      </c>
      <c r="R3" s="37">
        <f t="shared" ref="R3:R34" si="1">Q3/G3</f>
        <v>-5.4321026429803916E-2</v>
      </c>
      <c r="S3" s="120">
        <f>ABS(R3)</f>
        <v>5.4321026429803916E-2</v>
      </c>
      <c r="T3" s="121">
        <f>Q3*Q3</f>
        <v>5843488204796.0713</v>
      </c>
      <c r="U3" s="121"/>
      <c r="V3" s="121"/>
      <c r="W3"/>
      <c r="X3" s="39"/>
      <c r="AH3" s="98"/>
      <c r="AI3" s="98"/>
      <c r="AJ3" s="98"/>
      <c r="AK3" s="98"/>
    </row>
    <row r="4" spans="1:38" x14ac:dyDescent="0.2">
      <c r="A4" s="43">
        <v>42429</v>
      </c>
      <c r="B4" s="152">
        <v>40982390.300000004</v>
      </c>
      <c r="C4" s="94"/>
      <c r="D4" s="44">
        <f t="shared" ref="D4:D67" si="2">B4+C4</f>
        <v>40982390.300000004</v>
      </c>
      <c r="E4" s="94"/>
      <c r="F4" s="94"/>
      <c r="G4" s="139">
        <f t="shared" ref="G4:G62" si="3">D4-E4-F4</f>
        <v>40982390.300000004</v>
      </c>
      <c r="H4" s="147">
        <v>260</v>
      </c>
      <c r="I4" s="147">
        <v>0</v>
      </c>
      <c r="J4" s="44">
        <v>29</v>
      </c>
      <c r="K4" s="142">
        <v>0</v>
      </c>
      <c r="L4" s="44">
        <v>28649.315698836341</v>
      </c>
      <c r="M4" s="44">
        <v>0</v>
      </c>
      <c r="N4" s="44">
        <v>24243959</v>
      </c>
      <c r="O4" s="44">
        <v>0</v>
      </c>
      <c r="P4" s="44">
        <f t="shared" ref="P4:P34" si="4">$Y$30+$Y$31*H4+$Y$32*I4+$Y$33*J4+$Y$34*K4+$Y$35*L4+$Y$36*M4+$Y$37*N4</f>
        <v>38231138.278161392</v>
      </c>
      <c r="Q4" s="29">
        <f t="shared" si="0"/>
        <v>-2751252.0218386129</v>
      </c>
      <c r="R4" s="37">
        <f t="shared" si="1"/>
        <v>-6.7132541603816903E-2</v>
      </c>
      <c r="S4" s="120">
        <f t="shared" ref="S4:S67" si="5">ABS(R4)</f>
        <v>6.7132541603816903E-2</v>
      </c>
      <c r="T4" s="121">
        <f t="shared" ref="T4:T67" si="6">Q4*Q4</f>
        <v>7569387687671.0547</v>
      </c>
      <c r="U4" s="121">
        <f>Q4-Q3</f>
        <v>-333921.22014926374</v>
      </c>
      <c r="V4" s="121">
        <f>U4*U4</f>
        <v>111503381265.97305</v>
      </c>
      <c r="W4"/>
      <c r="X4" s="39"/>
      <c r="AH4" s="98"/>
      <c r="AI4" s="98"/>
      <c r="AJ4" s="98"/>
      <c r="AK4" s="98"/>
    </row>
    <row r="5" spans="1:38" x14ac:dyDescent="0.2">
      <c r="A5" s="43">
        <v>42460</v>
      </c>
      <c r="B5" s="152">
        <v>39758543.469999999</v>
      </c>
      <c r="C5" s="94"/>
      <c r="D5" s="44">
        <f t="shared" si="2"/>
        <v>39758543.469999999</v>
      </c>
      <c r="E5" s="94"/>
      <c r="F5" s="94"/>
      <c r="G5" s="139">
        <f t="shared" si="3"/>
        <v>39758543.469999999</v>
      </c>
      <c r="H5" s="147">
        <v>189</v>
      </c>
      <c r="I5" s="147">
        <v>0</v>
      </c>
      <c r="J5" s="44">
        <v>31</v>
      </c>
      <c r="K5" s="142">
        <v>1</v>
      </c>
      <c r="L5" s="44">
        <v>28657.443724103876</v>
      </c>
      <c r="M5" s="44">
        <v>0</v>
      </c>
      <c r="N5" s="44">
        <v>26157972</v>
      </c>
      <c r="O5" s="44">
        <v>0</v>
      </c>
      <c r="P5" s="44">
        <f t="shared" si="4"/>
        <v>36665245.215850189</v>
      </c>
      <c r="Q5" s="29">
        <f t="shared" si="0"/>
        <v>-3093298.2541498095</v>
      </c>
      <c r="R5" s="37">
        <f t="shared" si="1"/>
        <v>-7.7802101993094203E-2</v>
      </c>
      <c r="S5" s="120">
        <f t="shared" si="5"/>
        <v>7.7802101993094203E-2</v>
      </c>
      <c r="T5" s="121">
        <f t="shared" si="6"/>
        <v>9568494089126.2598</v>
      </c>
      <c r="U5" s="121">
        <f t="shared" ref="U5:U68" si="7">Q5-Q4</f>
        <v>-342046.23231119663</v>
      </c>
      <c r="V5" s="121">
        <f t="shared" ref="V5:V68" si="8">U5*U5</f>
        <v>116995625038.2851</v>
      </c>
      <c r="W5"/>
      <c r="X5" s="39"/>
      <c r="AH5" s="98"/>
      <c r="AI5" s="98"/>
      <c r="AJ5" s="98"/>
      <c r="AK5" s="98"/>
    </row>
    <row r="6" spans="1:38" x14ac:dyDescent="0.2">
      <c r="A6" s="43">
        <v>42490</v>
      </c>
      <c r="B6" s="152">
        <v>36143916.349999994</v>
      </c>
      <c r="C6" s="94"/>
      <c r="D6" s="44">
        <f t="shared" si="2"/>
        <v>36143916.349999994</v>
      </c>
      <c r="E6" s="94"/>
      <c r="F6" s="94"/>
      <c r="G6" s="139">
        <f t="shared" si="3"/>
        <v>36143916.349999994</v>
      </c>
      <c r="H6" s="147">
        <v>157.4</v>
      </c>
      <c r="I6" s="147">
        <v>0</v>
      </c>
      <c r="J6" s="44">
        <v>30</v>
      </c>
      <c r="K6" s="142">
        <v>1</v>
      </c>
      <c r="L6" s="44">
        <v>28665.579614357437</v>
      </c>
      <c r="M6" s="44">
        <v>0</v>
      </c>
      <c r="N6" s="44">
        <v>24474973</v>
      </c>
      <c r="O6" s="44">
        <v>0</v>
      </c>
      <c r="P6" s="44">
        <f t="shared" si="4"/>
        <v>34974791.667358384</v>
      </c>
      <c r="Q6" s="29">
        <f t="shared" si="0"/>
        <v>-1169124.6826416105</v>
      </c>
      <c r="R6" s="37">
        <f t="shared" si="1"/>
        <v>-3.2346375288177943E-2</v>
      </c>
      <c r="S6" s="120">
        <f t="shared" si="5"/>
        <v>3.2346375288177943E-2</v>
      </c>
      <c r="T6" s="121">
        <f t="shared" si="6"/>
        <v>1366852523561.8464</v>
      </c>
      <c r="U6" s="121">
        <f t="shared" si="7"/>
        <v>1924173.571508199</v>
      </c>
      <c r="V6" s="121">
        <f t="shared" si="8"/>
        <v>3702443933290.6182</v>
      </c>
      <c r="W6"/>
      <c r="X6" s="39"/>
      <c r="AH6" s="98"/>
      <c r="AI6" s="98"/>
      <c r="AJ6" s="98"/>
      <c r="AK6" s="98"/>
    </row>
    <row r="7" spans="1:38" x14ac:dyDescent="0.2">
      <c r="A7" s="43">
        <v>42521</v>
      </c>
      <c r="B7" s="152">
        <v>35571116.150000006</v>
      </c>
      <c r="C7" s="94"/>
      <c r="D7" s="44">
        <f t="shared" si="2"/>
        <v>35571116.150000006</v>
      </c>
      <c r="E7" s="94"/>
      <c r="F7" s="94"/>
      <c r="G7" s="139">
        <f t="shared" si="3"/>
        <v>35571116.150000006</v>
      </c>
      <c r="H7" s="147">
        <v>84.5</v>
      </c>
      <c r="I7" s="147">
        <v>25</v>
      </c>
      <c r="J7" s="44">
        <v>31</v>
      </c>
      <c r="K7" s="142">
        <v>1</v>
      </c>
      <c r="L7" s="44">
        <v>28673.723347218267</v>
      </c>
      <c r="M7" s="44">
        <v>0</v>
      </c>
      <c r="N7" s="44">
        <v>24878252</v>
      </c>
      <c r="O7" s="44">
        <v>0</v>
      </c>
      <c r="P7" s="44">
        <f t="shared" si="4"/>
        <v>36548665.535928249</v>
      </c>
      <c r="Q7" s="29">
        <f t="shared" si="0"/>
        <v>977549.3859282434</v>
      </c>
      <c r="R7" s="37">
        <f t="shared" si="1"/>
        <v>2.7481549406715572E-2</v>
      </c>
      <c r="S7" s="120">
        <f t="shared" si="5"/>
        <v>2.7481549406715572E-2</v>
      </c>
      <c r="T7" s="121">
        <f t="shared" si="6"/>
        <v>955602801928.68579</v>
      </c>
      <c r="U7" s="121">
        <f t="shared" si="7"/>
        <v>2146674.0685698539</v>
      </c>
      <c r="V7" s="121">
        <f t="shared" si="8"/>
        <v>4608209556670.25</v>
      </c>
      <c r="W7"/>
      <c r="X7" s="39"/>
      <c r="AH7" s="98"/>
      <c r="AI7" s="98"/>
      <c r="AJ7" s="98"/>
      <c r="AK7" s="98"/>
    </row>
    <row r="8" spans="1:38" x14ac:dyDescent="0.2">
      <c r="A8" s="43">
        <v>42551</v>
      </c>
      <c r="B8" s="152">
        <v>39220373.289999992</v>
      </c>
      <c r="C8" s="94"/>
      <c r="D8" s="44">
        <f t="shared" si="2"/>
        <v>39220373.289999992</v>
      </c>
      <c r="E8" s="94"/>
      <c r="F8" s="94"/>
      <c r="G8" s="139">
        <f t="shared" si="3"/>
        <v>39220373.289999992</v>
      </c>
      <c r="H8" s="147">
        <v>19.7</v>
      </c>
      <c r="I8" s="147">
        <v>71.7</v>
      </c>
      <c r="J8" s="44">
        <v>30</v>
      </c>
      <c r="K8" s="142">
        <v>0</v>
      </c>
      <c r="L8" s="44">
        <v>28681.874900418759</v>
      </c>
      <c r="M8" s="44">
        <v>0</v>
      </c>
      <c r="N8" s="44">
        <v>26506086</v>
      </c>
      <c r="O8" s="44">
        <v>0</v>
      </c>
      <c r="P8" s="44">
        <f t="shared" si="4"/>
        <v>40885153.592655987</v>
      </c>
      <c r="Q8" s="29">
        <f t="shared" si="0"/>
        <v>1664780.3026559949</v>
      </c>
      <c r="R8" s="37">
        <f t="shared" si="1"/>
        <v>4.2446824520164968E-2</v>
      </c>
      <c r="S8" s="120">
        <f t="shared" si="5"/>
        <v>4.2446824520164968E-2</v>
      </c>
      <c r="T8" s="121">
        <f t="shared" si="6"/>
        <v>2771493456111.3857</v>
      </c>
      <c r="U8" s="121">
        <f t="shared" si="7"/>
        <v>687230.91672775149</v>
      </c>
      <c r="V8" s="121">
        <f t="shared" si="8"/>
        <v>472286332906.4657</v>
      </c>
      <c r="W8"/>
      <c r="X8" s="39"/>
      <c r="AH8" s="98"/>
      <c r="AI8" s="98"/>
      <c r="AJ8" s="98"/>
      <c r="AK8" s="98"/>
    </row>
    <row r="9" spans="1:38" x14ac:dyDescent="0.2">
      <c r="A9" s="43">
        <v>42582</v>
      </c>
      <c r="B9" s="152">
        <v>47066419.799999982</v>
      </c>
      <c r="C9" s="94"/>
      <c r="D9" s="44">
        <f t="shared" si="2"/>
        <v>47066419.799999982</v>
      </c>
      <c r="E9" s="94"/>
      <c r="F9" s="94"/>
      <c r="G9" s="139">
        <f t="shared" si="3"/>
        <v>47066419.799999982</v>
      </c>
      <c r="H9" s="147">
        <v>1</v>
      </c>
      <c r="I9" s="147">
        <v>111.4</v>
      </c>
      <c r="J9" s="44">
        <v>31</v>
      </c>
      <c r="K9" s="142">
        <v>0</v>
      </c>
      <c r="L9" s="44">
        <v>28690.034251801935</v>
      </c>
      <c r="M9" s="44">
        <v>1</v>
      </c>
      <c r="N9" s="44">
        <v>21781623</v>
      </c>
      <c r="O9" s="44">
        <v>0</v>
      </c>
      <c r="P9" s="44">
        <f t="shared" si="4"/>
        <v>46362580.329090081</v>
      </c>
      <c r="Q9" s="29">
        <f t="shared" si="0"/>
        <v>-703839.47090990096</v>
      </c>
      <c r="R9" s="37">
        <f t="shared" si="1"/>
        <v>-1.4954174842716659E-2</v>
      </c>
      <c r="S9" s="120">
        <f t="shared" si="5"/>
        <v>1.4954174842716659E-2</v>
      </c>
      <c r="T9" s="121">
        <f t="shared" si="6"/>
        <v>495390000810.72931</v>
      </c>
      <c r="U9" s="121">
        <f t="shared" si="7"/>
        <v>-2368619.7735658959</v>
      </c>
      <c r="V9" s="121">
        <f t="shared" si="8"/>
        <v>5610359631727.3555</v>
      </c>
      <c r="W9"/>
      <c r="X9" s="39"/>
      <c r="AH9" s="98"/>
      <c r="AI9" s="98"/>
      <c r="AJ9" s="98"/>
      <c r="AK9" s="98"/>
    </row>
    <row r="10" spans="1:38" x14ac:dyDescent="0.2">
      <c r="A10" s="43">
        <v>42613</v>
      </c>
      <c r="B10" s="152">
        <v>50793950.229999974</v>
      </c>
      <c r="C10" s="94"/>
      <c r="D10" s="44">
        <f t="shared" si="2"/>
        <v>50793950.229999974</v>
      </c>
      <c r="E10" s="94"/>
      <c r="F10" s="94"/>
      <c r="G10" s="139">
        <f t="shared" si="3"/>
        <v>50793950.229999974</v>
      </c>
      <c r="H10" s="147">
        <v>0</v>
      </c>
      <c r="I10" s="147">
        <v>150.69999999999999</v>
      </c>
      <c r="J10" s="44">
        <v>31</v>
      </c>
      <c r="K10" s="142">
        <v>0</v>
      </c>
      <c r="L10" s="44">
        <v>28698.201379320915</v>
      </c>
      <c r="M10" s="44">
        <v>1</v>
      </c>
      <c r="N10" s="44">
        <v>26118386</v>
      </c>
      <c r="O10" s="44">
        <v>0</v>
      </c>
      <c r="P10" s="44">
        <f t="shared" si="4"/>
        <v>49818300.520576864</v>
      </c>
      <c r="Q10" s="29">
        <f t="shared" si="0"/>
        <v>-975649.70942310989</v>
      </c>
      <c r="R10" s="37">
        <f t="shared" si="1"/>
        <v>-1.9207990420222736E-2</v>
      </c>
      <c r="S10" s="120">
        <f t="shared" si="5"/>
        <v>1.9207990420222736E-2</v>
      </c>
      <c r="T10" s="121">
        <f t="shared" si="6"/>
        <v>951892355497.3988</v>
      </c>
      <c r="U10" s="121">
        <f t="shared" si="7"/>
        <v>-271810.23851320893</v>
      </c>
      <c r="V10" s="121">
        <f t="shared" si="8"/>
        <v>73880805760.607529</v>
      </c>
      <c r="W10"/>
      <c r="X10" s="39"/>
      <c r="AH10" s="98"/>
      <c r="AI10" s="98"/>
      <c r="AJ10" s="98"/>
      <c r="AK10" s="98"/>
    </row>
    <row r="11" spans="1:38" x14ac:dyDescent="0.2">
      <c r="A11" s="43">
        <v>42643</v>
      </c>
      <c r="B11" s="152">
        <v>39568638.049999982</v>
      </c>
      <c r="C11" s="94"/>
      <c r="D11" s="44">
        <f t="shared" si="2"/>
        <v>39568638.049999982</v>
      </c>
      <c r="E11" s="94"/>
      <c r="F11" s="94"/>
      <c r="G11" s="139">
        <f t="shared" si="3"/>
        <v>39568638.049999982</v>
      </c>
      <c r="H11" s="147">
        <v>12.5</v>
      </c>
      <c r="I11" s="147">
        <v>60.3</v>
      </c>
      <c r="J11" s="44">
        <v>30</v>
      </c>
      <c r="K11" s="142">
        <v>1</v>
      </c>
      <c r="L11" s="44">
        <v>28706.3762610384</v>
      </c>
      <c r="M11" s="44">
        <v>0</v>
      </c>
      <c r="N11" s="44">
        <v>26028405</v>
      </c>
      <c r="O11" s="44">
        <v>0</v>
      </c>
      <c r="P11" s="44">
        <f t="shared" si="4"/>
        <v>37193247.084987625</v>
      </c>
      <c r="Q11" s="29">
        <f t="shared" si="0"/>
        <v>-2375390.9650123566</v>
      </c>
      <c r="R11" s="37">
        <f t="shared" si="1"/>
        <v>-6.003216390745493E-2</v>
      </c>
      <c r="S11" s="120">
        <f t="shared" si="5"/>
        <v>6.003216390745493E-2</v>
      </c>
      <c r="T11" s="121">
        <f t="shared" si="6"/>
        <v>5642482236662.335</v>
      </c>
      <c r="U11" s="121">
        <f t="shared" si="7"/>
        <v>-1399741.2555892467</v>
      </c>
      <c r="V11" s="121">
        <f t="shared" si="8"/>
        <v>1959275582598.561</v>
      </c>
      <c r="W11"/>
      <c r="X11" s="39"/>
      <c r="AH11" s="98"/>
      <c r="AI11" s="98"/>
      <c r="AJ11" s="98"/>
      <c r="AK11" s="98"/>
    </row>
    <row r="12" spans="1:38" x14ac:dyDescent="0.2">
      <c r="A12" s="43">
        <v>42674</v>
      </c>
      <c r="B12" s="152">
        <v>35855555.68999996</v>
      </c>
      <c r="C12" s="94"/>
      <c r="D12" s="44">
        <f t="shared" si="2"/>
        <v>35855555.68999996</v>
      </c>
      <c r="E12" s="94"/>
      <c r="F12" s="94"/>
      <c r="G12" s="139">
        <f t="shared" si="3"/>
        <v>35855555.68999996</v>
      </c>
      <c r="H12" s="147">
        <v>118.3</v>
      </c>
      <c r="I12" s="147">
        <v>4</v>
      </c>
      <c r="J12" s="44">
        <v>31</v>
      </c>
      <c r="K12" s="142">
        <v>1</v>
      </c>
      <c r="L12" s="44">
        <v>28714.55887512616</v>
      </c>
      <c r="M12" s="44">
        <v>0</v>
      </c>
      <c r="N12" s="44">
        <v>25248672</v>
      </c>
      <c r="O12" s="44">
        <v>0</v>
      </c>
      <c r="P12" s="44">
        <f t="shared" si="4"/>
        <v>35779445.652592793</v>
      </c>
      <c r="Q12" s="29">
        <f t="shared" si="0"/>
        <v>-76110.037407167256</v>
      </c>
      <c r="R12" s="37">
        <f t="shared" si="1"/>
        <v>-2.122684642380098E-3</v>
      </c>
      <c r="S12" s="120">
        <f t="shared" si="5"/>
        <v>2.122684642380098E-3</v>
      </c>
      <c r="T12" s="121">
        <f t="shared" si="6"/>
        <v>5792737794.1203985</v>
      </c>
      <c r="U12" s="121">
        <f t="shared" si="7"/>
        <v>2299280.9276051894</v>
      </c>
      <c r="V12" s="121">
        <f t="shared" si="8"/>
        <v>5286692784048.9805</v>
      </c>
      <c r="W12"/>
      <c r="X12" s="39"/>
      <c r="AH12" s="98"/>
      <c r="AI12" s="98"/>
      <c r="AJ12" s="98"/>
      <c r="AK12" s="98"/>
    </row>
    <row r="13" spans="1:38" x14ac:dyDescent="0.2">
      <c r="A13" s="43">
        <v>42704</v>
      </c>
      <c r="B13" s="152">
        <v>36559281.450000003</v>
      </c>
      <c r="C13" s="94"/>
      <c r="D13" s="44">
        <f t="shared" si="2"/>
        <v>36559281.450000003</v>
      </c>
      <c r="E13" s="94"/>
      <c r="F13" s="94"/>
      <c r="G13" s="139">
        <f t="shared" si="3"/>
        <v>36559281.450000003</v>
      </c>
      <c r="H13" s="147">
        <v>275.2</v>
      </c>
      <c r="I13" s="147">
        <v>0</v>
      </c>
      <c r="J13" s="44">
        <v>30</v>
      </c>
      <c r="K13" s="142">
        <v>1</v>
      </c>
      <c r="L13" s="44">
        <v>28722.749199864502</v>
      </c>
      <c r="M13" s="44">
        <v>0</v>
      </c>
      <c r="N13" s="44">
        <v>26188746</v>
      </c>
      <c r="O13" s="44">
        <v>0</v>
      </c>
      <c r="P13" s="44">
        <f t="shared" si="4"/>
        <v>37036778.917661965</v>
      </c>
      <c r="Q13" s="29">
        <f t="shared" si="0"/>
        <v>477497.46766196191</v>
      </c>
      <c r="R13" s="37">
        <f t="shared" si="1"/>
        <v>1.3060909534423081E-2</v>
      </c>
      <c r="S13" s="120">
        <f t="shared" si="5"/>
        <v>1.3060909534423081E-2</v>
      </c>
      <c r="T13" s="121">
        <f t="shared" si="6"/>
        <v>228003831623.58636</v>
      </c>
      <c r="U13" s="121">
        <f t="shared" si="7"/>
        <v>553607.50506912917</v>
      </c>
      <c r="V13" s="121">
        <f t="shared" si="8"/>
        <v>306481269668.86591</v>
      </c>
      <c r="W13"/>
      <c r="X13" s="39"/>
      <c r="AH13" s="98"/>
      <c r="AI13" s="98"/>
      <c r="AJ13" s="98"/>
      <c r="AK13" s="98"/>
    </row>
    <row r="14" spans="1:38" x14ac:dyDescent="0.2">
      <c r="A14" s="43">
        <v>42735</v>
      </c>
      <c r="B14" s="152">
        <v>42534516.759999998</v>
      </c>
      <c r="C14" s="94"/>
      <c r="D14" s="44">
        <f t="shared" si="2"/>
        <v>42534516.759999998</v>
      </c>
      <c r="E14" s="94"/>
      <c r="F14" s="94"/>
      <c r="G14" s="139">
        <f t="shared" si="3"/>
        <v>42534516.759999998</v>
      </c>
      <c r="H14" s="147">
        <v>408.3</v>
      </c>
      <c r="I14" s="147">
        <v>0</v>
      </c>
      <c r="J14" s="44">
        <v>31</v>
      </c>
      <c r="K14" s="142">
        <v>0</v>
      </c>
      <c r="L14" s="44">
        <v>28730.947213641775</v>
      </c>
      <c r="M14" s="44">
        <v>0</v>
      </c>
      <c r="N14" s="44">
        <v>24077403</v>
      </c>
      <c r="O14" s="44">
        <v>0</v>
      </c>
      <c r="P14" s="44">
        <f t="shared" si="4"/>
        <v>42119391.13404303</v>
      </c>
      <c r="Q14" s="29">
        <f>P14-G14</f>
        <v>-415125.62595696747</v>
      </c>
      <c r="R14" s="37">
        <f t="shared" si="1"/>
        <v>-9.7597353297629776E-3</v>
      </c>
      <c r="S14" s="120">
        <f t="shared" si="5"/>
        <v>9.7597353297629776E-3</v>
      </c>
      <c r="T14" s="121">
        <f t="shared" si="6"/>
        <v>172329285326.16406</v>
      </c>
      <c r="U14" s="121">
        <f t="shared" si="7"/>
        <v>-892623.09361892939</v>
      </c>
      <c r="V14" s="121">
        <f t="shared" si="8"/>
        <v>796775987261.828</v>
      </c>
      <c r="W14"/>
      <c r="X14" s="39"/>
      <c r="AH14" s="98"/>
      <c r="AI14" s="98"/>
      <c r="AJ14" s="98"/>
      <c r="AK14" s="98"/>
    </row>
    <row r="15" spans="1:38" ht="13.5" thickBot="1" x14ac:dyDescent="0.25">
      <c r="A15" s="43">
        <v>42766</v>
      </c>
      <c r="B15" s="44">
        <v>43062641.590000018</v>
      </c>
      <c r="C15" s="44"/>
      <c r="D15" s="44">
        <f t="shared" si="2"/>
        <v>43062641.590000018</v>
      </c>
      <c r="E15" s="44"/>
      <c r="F15" s="44"/>
      <c r="G15" s="139">
        <f t="shared" si="3"/>
        <v>43062641.590000018</v>
      </c>
      <c r="H15" s="44">
        <v>467.9</v>
      </c>
      <c r="I15" s="44">
        <v>0</v>
      </c>
      <c r="J15" s="44">
        <v>31</v>
      </c>
      <c r="K15" s="142">
        <v>0</v>
      </c>
      <c r="L15" s="44">
        <v>28747.211249535372</v>
      </c>
      <c r="M15" s="44">
        <v>0</v>
      </c>
      <c r="N15" s="44">
        <v>24123511</v>
      </c>
      <c r="O15" s="44">
        <v>0</v>
      </c>
      <c r="P15" s="44">
        <f>$Y$30+$Y$31*H15+$Y$32*I15+$Y$33*J15+$Y$34*K15+$Y$35*L15+$Y$36*M15+$Y$37*N15</f>
        <v>42976844.204452962</v>
      </c>
      <c r="Q15" s="29">
        <f t="shared" si="0"/>
        <v>-85797.385547056794</v>
      </c>
      <c r="R15" s="37">
        <f t="shared" si="1"/>
        <v>-1.9923855662161843E-3</v>
      </c>
      <c r="S15" s="120">
        <f t="shared" si="5"/>
        <v>1.9923855662161843E-3</v>
      </c>
      <c r="T15" s="121">
        <f t="shared" si="6"/>
        <v>7361191366.71031</v>
      </c>
      <c r="U15" s="121">
        <f t="shared" si="7"/>
        <v>329328.24040991068</v>
      </c>
      <c r="V15" s="121">
        <f t="shared" si="8"/>
        <v>108457089931.48793</v>
      </c>
      <c r="W15"/>
      <c r="AH15" s="98"/>
      <c r="AI15" s="98"/>
      <c r="AJ15" s="98"/>
      <c r="AK15" s="98"/>
    </row>
    <row r="16" spans="1:38" x14ac:dyDescent="0.2">
      <c r="A16" s="43">
        <v>42794</v>
      </c>
      <c r="B16" s="44">
        <v>37522207.099999994</v>
      </c>
      <c r="C16" s="44"/>
      <c r="D16" s="44">
        <f t="shared" si="2"/>
        <v>37522207.099999994</v>
      </c>
      <c r="E16" s="44"/>
      <c r="F16" s="44"/>
      <c r="G16" s="139">
        <f t="shared" si="3"/>
        <v>37522207.099999994</v>
      </c>
      <c r="H16" s="139">
        <v>396.4</v>
      </c>
      <c r="I16" s="44">
        <v>0</v>
      </c>
      <c r="J16" s="44">
        <v>28</v>
      </c>
      <c r="K16" s="142">
        <v>0</v>
      </c>
      <c r="L16" s="44">
        <v>28763.489426035911</v>
      </c>
      <c r="M16" s="44">
        <v>0</v>
      </c>
      <c r="N16" s="44">
        <v>23547398</v>
      </c>
      <c r="O16" s="44">
        <v>0</v>
      </c>
      <c r="P16" s="44">
        <f t="shared" si="4"/>
        <v>39186646.742098235</v>
      </c>
      <c r="Q16" s="29">
        <f t="shared" si="0"/>
        <v>1664439.6420982406</v>
      </c>
      <c r="R16" s="37">
        <f t="shared" si="1"/>
        <v>4.4358788321336266E-2</v>
      </c>
      <c r="S16" s="120">
        <f t="shared" si="5"/>
        <v>4.4358788321336266E-2</v>
      </c>
      <c r="T16" s="121">
        <f t="shared" si="6"/>
        <v>2770359322188.1191</v>
      </c>
      <c r="U16" s="121">
        <f t="shared" si="7"/>
        <v>1750237.0276452973</v>
      </c>
      <c r="V16" s="121">
        <f t="shared" si="8"/>
        <v>3063329652940.6455</v>
      </c>
      <c r="W16"/>
      <c r="X16" s="169" t="s">
        <v>108</v>
      </c>
      <c r="Y16" s="169"/>
      <c r="AH16" s="98"/>
      <c r="AI16" s="98"/>
      <c r="AJ16" s="98"/>
      <c r="AK16" s="98"/>
    </row>
    <row r="17" spans="1:37" x14ac:dyDescent="0.2">
      <c r="A17" s="43">
        <v>42825</v>
      </c>
      <c r="B17" s="44">
        <v>41370878.749999993</v>
      </c>
      <c r="C17" s="44"/>
      <c r="D17" s="44">
        <f t="shared" si="2"/>
        <v>41370878.749999993</v>
      </c>
      <c r="E17" s="44"/>
      <c r="F17" s="44"/>
      <c r="G17" s="139">
        <f t="shared" si="3"/>
        <v>41370878.749999993</v>
      </c>
      <c r="H17" s="44">
        <v>407.5</v>
      </c>
      <c r="I17" s="44">
        <v>0</v>
      </c>
      <c r="J17" s="44">
        <v>31</v>
      </c>
      <c r="K17" s="142">
        <v>1</v>
      </c>
      <c r="L17" s="44">
        <v>28779.78173538348</v>
      </c>
      <c r="M17" s="44">
        <v>0</v>
      </c>
      <c r="N17" s="44">
        <v>27873176</v>
      </c>
      <c r="O17" s="44">
        <v>0</v>
      </c>
      <c r="P17" s="44">
        <f t="shared" si="4"/>
        <v>40187754.792794153</v>
      </c>
      <c r="Q17" s="29">
        <f t="shared" si="0"/>
        <v>-1183123.9572058395</v>
      </c>
      <c r="R17" s="37">
        <f t="shared" si="1"/>
        <v>-2.8597989526771648E-2</v>
      </c>
      <c r="S17" s="120">
        <f t="shared" si="5"/>
        <v>2.8597989526771648E-2</v>
      </c>
      <c r="T17" s="121">
        <f t="shared" si="6"/>
        <v>1399782298114.405</v>
      </c>
      <c r="U17" s="121">
        <f t="shared" si="7"/>
        <v>-2847563.59930408</v>
      </c>
      <c r="V17" s="121">
        <f t="shared" si="8"/>
        <v>8108618452081.6074</v>
      </c>
      <c r="W17"/>
      <c r="X17" t="s">
        <v>109</v>
      </c>
      <c r="Y17" s="170">
        <v>0.93393811002907778</v>
      </c>
      <c r="AH17" s="98"/>
      <c r="AI17" s="98"/>
      <c r="AJ17" s="98"/>
      <c r="AK17" s="98"/>
    </row>
    <row r="18" spans="1:37" x14ac:dyDescent="0.2">
      <c r="A18" s="43">
        <v>42855</v>
      </c>
      <c r="B18" s="44">
        <v>35639117.619999968</v>
      </c>
      <c r="C18" s="44"/>
      <c r="D18" s="44">
        <f t="shared" si="2"/>
        <v>35639117.619999968</v>
      </c>
      <c r="E18" s="44"/>
      <c r="F18" s="44"/>
      <c r="G18" s="139">
        <f t="shared" si="3"/>
        <v>35639117.619999968</v>
      </c>
      <c r="H18" s="44">
        <v>196.3</v>
      </c>
      <c r="I18" s="44">
        <v>2</v>
      </c>
      <c r="J18" s="44">
        <v>30</v>
      </c>
      <c r="K18" s="142">
        <v>1</v>
      </c>
      <c r="L18" s="44">
        <v>28796.088169881848</v>
      </c>
      <c r="M18" s="44">
        <v>0</v>
      </c>
      <c r="N18" s="44">
        <v>24299797</v>
      </c>
      <c r="O18" s="44">
        <v>0</v>
      </c>
      <c r="P18" s="44">
        <f t="shared" si="4"/>
        <v>35708913.092289433</v>
      </c>
      <c r="Q18" s="29">
        <f t="shared" si="0"/>
        <v>69795.472289465368</v>
      </c>
      <c r="R18" s="37">
        <f t="shared" si="1"/>
        <v>1.9583950712151617E-3</v>
      </c>
      <c r="S18" s="120">
        <f t="shared" si="5"/>
        <v>1.9583950712151617E-3</v>
      </c>
      <c r="T18" s="121">
        <f t="shared" si="6"/>
        <v>4871407952.1095276</v>
      </c>
      <c r="U18" s="121">
        <f t="shared" si="7"/>
        <v>1252919.4294953048</v>
      </c>
      <c r="V18" s="121">
        <f t="shared" si="8"/>
        <v>1569807096806.8401</v>
      </c>
      <c r="W18"/>
      <c r="X18" t="s">
        <v>110</v>
      </c>
      <c r="Y18" s="170">
        <v>0.87224039336468584</v>
      </c>
      <c r="AH18" s="98"/>
      <c r="AI18" s="98"/>
      <c r="AJ18" s="98"/>
      <c r="AK18" s="98"/>
    </row>
    <row r="19" spans="1:37" x14ac:dyDescent="0.2">
      <c r="A19" s="43">
        <v>42886</v>
      </c>
      <c r="B19" s="44">
        <v>36632679.980000012</v>
      </c>
      <c r="C19" s="44"/>
      <c r="D19" s="44">
        <f t="shared" si="2"/>
        <v>36632679.980000012</v>
      </c>
      <c r="E19" s="44"/>
      <c r="F19" s="44"/>
      <c r="G19" s="139">
        <f t="shared" si="3"/>
        <v>36632679.980000012</v>
      </c>
      <c r="H19" s="44">
        <v>132.19999999999999</v>
      </c>
      <c r="I19" s="44">
        <v>7</v>
      </c>
      <c r="J19" s="44">
        <v>31</v>
      </c>
      <c r="K19" s="142">
        <v>1</v>
      </c>
      <c r="L19" s="44">
        <v>28812.408721898231</v>
      </c>
      <c r="M19" s="44">
        <v>0</v>
      </c>
      <c r="N19" s="44">
        <v>27889652</v>
      </c>
      <c r="O19" s="44">
        <v>0</v>
      </c>
      <c r="P19" s="44">
        <f t="shared" si="4"/>
        <v>36807992.606837705</v>
      </c>
      <c r="Q19" s="29">
        <f t="shared" si="0"/>
        <v>175312.62683769315</v>
      </c>
      <c r="R19" s="37">
        <f t="shared" si="1"/>
        <v>4.7856893607949756E-3</v>
      </c>
      <c r="S19" s="120">
        <f t="shared" si="5"/>
        <v>4.7856893607949756E-3</v>
      </c>
      <c r="T19" s="121">
        <f t="shared" si="6"/>
        <v>30734517128.73225</v>
      </c>
      <c r="U19" s="121">
        <f t="shared" si="7"/>
        <v>105517.15454822779</v>
      </c>
      <c r="V19" s="121">
        <f t="shared" si="8"/>
        <v>11133869903.954588</v>
      </c>
      <c r="W19"/>
      <c r="X19" t="s">
        <v>111</v>
      </c>
      <c r="Y19" s="170">
        <v>0.86425541794997873</v>
      </c>
      <c r="AH19" s="98"/>
      <c r="AI19" s="98"/>
      <c r="AJ19" s="98"/>
      <c r="AK19" s="98"/>
    </row>
    <row r="20" spans="1:37" x14ac:dyDescent="0.2">
      <c r="A20" s="43">
        <v>42916</v>
      </c>
      <c r="B20" s="44">
        <v>38109511.749999993</v>
      </c>
      <c r="C20" s="44"/>
      <c r="D20" s="44">
        <f t="shared" si="2"/>
        <v>38109511.749999993</v>
      </c>
      <c r="E20" s="44"/>
      <c r="F20" s="44"/>
      <c r="G20" s="139">
        <f t="shared" si="3"/>
        <v>38109511.749999993</v>
      </c>
      <c r="H20" s="44">
        <v>10.8</v>
      </c>
      <c r="I20" s="44">
        <v>58.6</v>
      </c>
      <c r="J20" s="44">
        <v>30</v>
      </c>
      <c r="K20" s="142">
        <v>0</v>
      </c>
      <c r="L20" s="44">
        <v>28828.743383863046</v>
      </c>
      <c r="M20" s="44">
        <v>0</v>
      </c>
      <c r="N20" s="44">
        <v>27692687</v>
      </c>
      <c r="O20" s="44">
        <v>0</v>
      </c>
      <c r="P20" s="44">
        <f t="shared" si="4"/>
        <v>40281069.235366292</v>
      </c>
      <c r="Q20" s="29">
        <f t="shared" si="0"/>
        <v>2171557.4853662997</v>
      </c>
      <c r="R20" s="37">
        <f t="shared" si="1"/>
        <v>5.6982033766577976E-2</v>
      </c>
      <c r="S20" s="120">
        <f t="shared" si="5"/>
        <v>5.6982033766577976E-2</v>
      </c>
      <c r="T20" s="121">
        <f t="shared" si="6"/>
        <v>4715661912250.4072</v>
      </c>
      <c r="U20" s="121">
        <f t="shared" si="7"/>
        <v>1996244.8585286066</v>
      </c>
      <c r="V20" s="121">
        <f t="shared" si="8"/>
        <v>3984993535201.8965</v>
      </c>
      <c r="W20"/>
      <c r="X20" t="s">
        <v>112</v>
      </c>
      <c r="Y20">
        <v>1680718.200641616</v>
      </c>
      <c r="AH20" s="98"/>
      <c r="AI20" s="98"/>
      <c r="AJ20" s="98"/>
      <c r="AK20" s="98"/>
    </row>
    <row r="21" spans="1:37" ht="13.5" thickBot="1" x14ac:dyDescent="0.25">
      <c r="A21" s="43">
        <v>42947</v>
      </c>
      <c r="B21" s="44">
        <v>43845120.699999988</v>
      </c>
      <c r="C21" s="44"/>
      <c r="D21" s="44">
        <f t="shared" si="2"/>
        <v>43845120.699999988</v>
      </c>
      <c r="E21" s="44"/>
      <c r="F21" s="44"/>
      <c r="G21" s="139">
        <f t="shared" si="3"/>
        <v>43845120.699999988</v>
      </c>
      <c r="H21" s="44">
        <v>0</v>
      </c>
      <c r="I21" s="44">
        <v>67.8</v>
      </c>
      <c r="J21" s="44">
        <v>31</v>
      </c>
      <c r="K21" s="142">
        <v>0</v>
      </c>
      <c r="L21" s="44">
        <v>28845.092148269669</v>
      </c>
      <c r="M21" s="44">
        <v>1</v>
      </c>
      <c r="N21" s="44">
        <v>21678298</v>
      </c>
      <c r="O21" s="44">
        <v>0</v>
      </c>
      <c r="P21" s="44">
        <f t="shared" si="4"/>
        <v>43633115.89808473</v>
      </c>
      <c r="Q21" s="29">
        <f t="shared" si="0"/>
        <v>-212004.80191525817</v>
      </c>
      <c r="R21" s="37">
        <f t="shared" si="1"/>
        <v>-4.8353111710160764E-3</v>
      </c>
      <c r="S21" s="120">
        <f t="shared" si="5"/>
        <v>4.8353111710160764E-3</v>
      </c>
      <c r="T21" s="121">
        <f t="shared" si="6"/>
        <v>44946036035.127853</v>
      </c>
      <c r="U21" s="121">
        <f t="shared" si="7"/>
        <v>-2383562.2872815579</v>
      </c>
      <c r="V21" s="121">
        <f t="shared" si="8"/>
        <v>5681369177350.8916</v>
      </c>
      <c r="W21"/>
      <c r="X21" s="167" t="s">
        <v>113</v>
      </c>
      <c r="Y21" s="167">
        <v>120</v>
      </c>
      <c r="AH21" s="98"/>
      <c r="AI21" s="98"/>
      <c r="AJ21" s="98"/>
      <c r="AK21" s="98"/>
    </row>
    <row r="22" spans="1:37" x14ac:dyDescent="0.2">
      <c r="A22" s="43">
        <v>42978</v>
      </c>
      <c r="B22" s="44">
        <v>43171748.199999966</v>
      </c>
      <c r="C22" s="44"/>
      <c r="D22" s="44">
        <f t="shared" si="2"/>
        <v>43171748.199999966</v>
      </c>
      <c r="E22" s="44"/>
      <c r="F22" s="44"/>
      <c r="G22" s="139">
        <f t="shared" si="3"/>
        <v>43171748.199999966</v>
      </c>
      <c r="H22" s="44">
        <v>2.7</v>
      </c>
      <c r="I22" s="44">
        <v>80.599999999999994</v>
      </c>
      <c r="J22" s="44">
        <v>31</v>
      </c>
      <c r="K22" s="142">
        <v>0</v>
      </c>
      <c r="L22" s="44">
        <v>28861.455007674194</v>
      </c>
      <c r="M22" s="44">
        <v>1</v>
      </c>
      <c r="N22" s="44">
        <v>26185973</v>
      </c>
      <c r="O22" s="44">
        <v>0</v>
      </c>
      <c r="P22" s="44">
        <f t="shared" si="4"/>
        <v>45476072.495872609</v>
      </c>
      <c r="Q22" s="29">
        <f t="shared" si="0"/>
        <v>2304324.2958726436</v>
      </c>
      <c r="R22" s="37">
        <f t="shared" si="1"/>
        <v>5.3375746685019473E-2</v>
      </c>
      <c r="S22" s="120">
        <f t="shared" si="5"/>
        <v>5.3375746685019473E-2</v>
      </c>
      <c r="T22" s="121">
        <f t="shared" si="6"/>
        <v>5309910460548.9551</v>
      </c>
      <c r="U22" s="121">
        <f t="shared" si="7"/>
        <v>2516329.0977879018</v>
      </c>
      <c r="V22" s="121">
        <f t="shared" si="8"/>
        <v>6331912128374.0752</v>
      </c>
      <c r="W22"/>
      <c r="AH22" s="98"/>
      <c r="AI22" s="98"/>
      <c r="AJ22" s="98"/>
      <c r="AK22" s="98"/>
    </row>
    <row r="23" spans="1:37" ht="13.5" thickBot="1" x14ac:dyDescent="0.25">
      <c r="A23" s="43">
        <v>43008</v>
      </c>
      <c r="B23" s="44">
        <v>38578980.680000037</v>
      </c>
      <c r="C23" s="44"/>
      <c r="D23" s="44">
        <f t="shared" si="2"/>
        <v>38578980.680000037</v>
      </c>
      <c r="E23" s="44"/>
      <c r="F23" s="44"/>
      <c r="G23" s="139">
        <f t="shared" si="3"/>
        <v>38578980.680000037</v>
      </c>
      <c r="H23" s="44">
        <v>24.1</v>
      </c>
      <c r="I23" s="44">
        <v>36</v>
      </c>
      <c r="J23" s="44">
        <v>30</v>
      </c>
      <c r="K23" s="142">
        <v>1</v>
      </c>
      <c r="L23" s="44">
        <v>28877.831954695208</v>
      </c>
      <c r="M23" s="44">
        <v>0</v>
      </c>
      <c r="N23" s="44">
        <v>24928173</v>
      </c>
      <c r="O23" s="44">
        <v>0</v>
      </c>
      <c r="P23" s="44">
        <f t="shared" si="4"/>
        <v>35682097.043829486</v>
      </c>
      <c r="Q23" s="29">
        <f t="shared" si="0"/>
        <v>-2896883.6361705512</v>
      </c>
      <c r="R23" s="37">
        <f t="shared" si="1"/>
        <v>-7.5089688351261757E-2</v>
      </c>
      <c r="S23" s="120">
        <f t="shared" si="5"/>
        <v>7.5089688351261757E-2</v>
      </c>
      <c r="T23" s="121">
        <f t="shared" si="6"/>
        <v>8391934801512.7139</v>
      </c>
      <c r="U23" s="121">
        <f t="shared" si="7"/>
        <v>-5201207.9320431948</v>
      </c>
      <c r="V23" s="121">
        <f t="shared" si="8"/>
        <v>27052563952349.047</v>
      </c>
      <c r="W23"/>
      <c r="X23" t="s">
        <v>114</v>
      </c>
    </row>
    <row r="24" spans="1:37" x14ac:dyDescent="0.2">
      <c r="A24" s="43">
        <v>43039</v>
      </c>
      <c r="B24" s="44">
        <v>35892870.779999956</v>
      </c>
      <c r="C24" s="44"/>
      <c r="D24" s="44">
        <f t="shared" si="2"/>
        <v>35892870.779999956</v>
      </c>
      <c r="E24" s="44"/>
      <c r="F24" s="44"/>
      <c r="G24" s="139">
        <f t="shared" si="3"/>
        <v>35892870.779999956</v>
      </c>
      <c r="H24" s="44">
        <v>66.599999999999994</v>
      </c>
      <c r="I24" s="44">
        <v>13.1</v>
      </c>
      <c r="J24" s="44">
        <v>31</v>
      </c>
      <c r="K24" s="142">
        <v>1</v>
      </c>
      <c r="L24" s="44">
        <v>28894.22298201354</v>
      </c>
      <c r="M24" s="44">
        <v>0</v>
      </c>
      <c r="N24" s="44">
        <v>24596657</v>
      </c>
      <c r="O24" s="44">
        <v>0</v>
      </c>
      <c r="P24" s="44">
        <f t="shared" si="4"/>
        <v>35635507.174563438</v>
      </c>
      <c r="Q24" s="29">
        <f t="shared" si="0"/>
        <v>-257363.60543651879</v>
      </c>
      <c r="R24" s="37">
        <f t="shared" si="1"/>
        <v>-7.1703265813980429E-3</v>
      </c>
      <c r="S24" s="120">
        <f t="shared" si="5"/>
        <v>7.1703265813980429E-3</v>
      </c>
      <c r="T24" s="121">
        <f t="shared" si="6"/>
        <v>66236025403.284126</v>
      </c>
      <c r="U24" s="121">
        <f t="shared" si="7"/>
        <v>2639520.0307340324</v>
      </c>
      <c r="V24" s="121">
        <f t="shared" si="8"/>
        <v>6967065992646.1875</v>
      </c>
      <c r="W24"/>
      <c r="X24" s="168"/>
      <c r="Y24" s="168" t="s">
        <v>118</v>
      </c>
      <c r="Z24" s="168" t="s">
        <v>119</v>
      </c>
      <c r="AA24" s="168" t="s">
        <v>120</v>
      </c>
      <c r="AB24" s="168" t="s">
        <v>121</v>
      </c>
      <c r="AC24" s="168" t="s">
        <v>122</v>
      </c>
    </row>
    <row r="25" spans="1:37" x14ac:dyDescent="0.2">
      <c r="A25" s="43">
        <v>43069</v>
      </c>
      <c r="B25" s="44">
        <v>38713504.909999996</v>
      </c>
      <c r="C25" s="44"/>
      <c r="D25" s="44">
        <f t="shared" si="2"/>
        <v>38713504.909999996</v>
      </c>
      <c r="E25" s="44"/>
      <c r="F25" s="44"/>
      <c r="G25" s="139">
        <f t="shared" si="3"/>
        <v>38713504.909999996</v>
      </c>
      <c r="H25" s="44">
        <v>276.8</v>
      </c>
      <c r="I25" s="44">
        <v>0</v>
      </c>
      <c r="J25" s="44">
        <v>30</v>
      </c>
      <c r="K25" s="142">
        <v>1</v>
      </c>
      <c r="L25" s="44">
        <v>28910.628082372026</v>
      </c>
      <c r="M25" s="44">
        <v>0</v>
      </c>
      <c r="N25" s="44">
        <v>26874868</v>
      </c>
      <c r="O25" s="44">
        <v>0</v>
      </c>
      <c r="P25" s="44">
        <f t="shared" si="4"/>
        <v>37347125.904909134</v>
      </c>
      <c r="Q25" s="29">
        <f t="shared" si="0"/>
        <v>-1366379.0050908625</v>
      </c>
      <c r="R25" s="37">
        <f t="shared" si="1"/>
        <v>-3.5294634476195831E-2</v>
      </c>
      <c r="S25" s="120">
        <f t="shared" si="5"/>
        <v>3.5294634476195831E-2</v>
      </c>
      <c r="T25" s="121">
        <f t="shared" si="6"/>
        <v>1866991585553.0952</v>
      </c>
      <c r="U25" s="121">
        <f t="shared" si="7"/>
        <v>-1109015.3996543437</v>
      </c>
      <c r="V25" s="121">
        <f t="shared" si="8"/>
        <v>1229915156670.4836</v>
      </c>
      <c r="W25"/>
      <c r="X25" t="s">
        <v>115</v>
      </c>
      <c r="Y25">
        <v>7</v>
      </c>
      <c r="Z25">
        <v>2159983620607846.5</v>
      </c>
      <c r="AA25">
        <v>308569088658263.81</v>
      </c>
      <c r="AB25">
        <v>109.23520086964189</v>
      </c>
      <c r="AC25">
        <v>4.9505600295765607E-47</v>
      </c>
    </row>
    <row r="26" spans="1:37" x14ac:dyDescent="0.2">
      <c r="A26" s="43">
        <v>43100</v>
      </c>
      <c r="B26" s="44">
        <v>43791007.450000025</v>
      </c>
      <c r="C26" s="44"/>
      <c r="D26" s="44">
        <f t="shared" si="2"/>
        <v>43791007.450000025</v>
      </c>
      <c r="E26" s="44"/>
      <c r="F26" s="44"/>
      <c r="G26" s="139">
        <f t="shared" si="3"/>
        <v>43791007.450000025</v>
      </c>
      <c r="H26" s="44">
        <v>570.5</v>
      </c>
      <c r="I26" s="44">
        <v>0</v>
      </c>
      <c r="J26" s="44">
        <v>31</v>
      </c>
      <c r="K26" s="142">
        <v>0</v>
      </c>
      <c r="L26" s="44">
        <v>28927.047248575294</v>
      </c>
      <c r="M26" s="44">
        <v>0</v>
      </c>
      <c r="N26" s="44">
        <v>23624013</v>
      </c>
      <c r="O26" s="44">
        <v>0</v>
      </c>
      <c r="P26" s="44">
        <f t="shared" si="4"/>
        <v>44442198.182755396</v>
      </c>
      <c r="Q26" s="29">
        <f t="shared" si="0"/>
        <v>651190.73275537044</v>
      </c>
      <c r="R26" s="37">
        <f t="shared" si="1"/>
        <v>1.4870421364452305E-2</v>
      </c>
      <c r="S26" s="120">
        <f t="shared" si="5"/>
        <v>1.4870421364452305E-2</v>
      </c>
      <c r="T26" s="121">
        <f t="shared" si="6"/>
        <v>424049370426.47626</v>
      </c>
      <c r="U26" s="121">
        <f t="shared" si="7"/>
        <v>2017569.737846233</v>
      </c>
      <c r="V26" s="121">
        <f t="shared" si="8"/>
        <v>4070587647072.917</v>
      </c>
      <c r="W26"/>
      <c r="X26" t="s">
        <v>116</v>
      </c>
      <c r="Y26">
        <v>112</v>
      </c>
      <c r="Z26">
        <v>316379131036415</v>
      </c>
      <c r="AA26">
        <v>2824813669967.9912</v>
      </c>
    </row>
    <row r="27" spans="1:37" ht="13.5" thickBot="1" x14ac:dyDescent="0.25">
      <c r="A27" s="43">
        <v>43131</v>
      </c>
      <c r="B27" s="44">
        <v>47052385.459999971</v>
      </c>
      <c r="C27" s="44"/>
      <c r="D27" s="44">
        <f t="shared" si="2"/>
        <v>47052385.459999971</v>
      </c>
      <c r="E27" s="44"/>
      <c r="F27" s="44"/>
      <c r="G27" s="139">
        <f t="shared" si="3"/>
        <v>47052385.459999971</v>
      </c>
      <c r="H27" s="44">
        <v>567.1</v>
      </c>
      <c r="I27" s="44">
        <v>0</v>
      </c>
      <c r="J27" s="44">
        <v>31</v>
      </c>
      <c r="K27" s="142">
        <v>0</v>
      </c>
      <c r="L27" s="44">
        <v>28945.13763605143</v>
      </c>
      <c r="M27" s="44">
        <v>0</v>
      </c>
      <c r="N27" s="44">
        <v>24254768</v>
      </c>
      <c r="O27" s="44">
        <v>0</v>
      </c>
      <c r="P27" s="44">
        <f t="shared" si="4"/>
        <v>44543546.259612836</v>
      </c>
      <c r="Q27" s="29">
        <f t="shared" si="0"/>
        <v>-2508839.2003871351</v>
      </c>
      <c r="R27" s="37">
        <f t="shared" si="1"/>
        <v>-5.3320127680241455E-2</v>
      </c>
      <c r="S27" s="120">
        <f t="shared" si="5"/>
        <v>5.3320127680241455E-2</v>
      </c>
      <c r="T27" s="121">
        <f t="shared" si="6"/>
        <v>6294274133399.1602</v>
      </c>
      <c r="U27" s="121">
        <f t="shared" si="7"/>
        <v>-3160029.9331425056</v>
      </c>
      <c r="V27" s="121">
        <f t="shared" si="8"/>
        <v>9985789178356.6289</v>
      </c>
      <c r="W27"/>
      <c r="X27" s="167" t="s">
        <v>7</v>
      </c>
      <c r="Y27" s="167">
        <v>119</v>
      </c>
      <c r="Z27" s="167">
        <v>2476362751644261.5</v>
      </c>
      <c r="AA27" s="167"/>
      <c r="AB27" s="167"/>
      <c r="AC27" s="167"/>
    </row>
    <row r="28" spans="1:37" ht="13.5" thickBot="1" x14ac:dyDescent="0.25">
      <c r="A28" s="43">
        <v>43159</v>
      </c>
      <c r="B28" s="44">
        <v>39540897.230000019</v>
      </c>
      <c r="C28" s="44"/>
      <c r="D28" s="44">
        <f t="shared" si="2"/>
        <v>39540897.230000019</v>
      </c>
      <c r="E28" s="44"/>
      <c r="F28" s="44"/>
      <c r="G28" s="139">
        <f t="shared" si="3"/>
        <v>39540897.230000019</v>
      </c>
      <c r="H28" s="44">
        <v>192.7</v>
      </c>
      <c r="I28" s="44">
        <v>0</v>
      </c>
      <c r="J28" s="44">
        <v>28</v>
      </c>
      <c r="K28" s="142">
        <v>0</v>
      </c>
      <c r="L28" s="44">
        <v>28963.243295069264</v>
      </c>
      <c r="M28" s="44">
        <v>0</v>
      </c>
      <c r="N28" s="44">
        <v>24396362</v>
      </c>
      <c r="O28" s="44">
        <v>0</v>
      </c>
      <c r="P28" s="44">
        <f t="shared" si="4"/>
        <v>36663267.712583281</v>
      </c>
      <c r="Q28" s="29">
        <f t="shared" si="0"/>
        <v>-2877629.517416738</v>
      </c>
      <c r="R28" s="37">
        <f t="shared" si="1"/>
        <v>-7.2776029857851976E-2</v>
      </c>
      <c r="S28" s="120">
        <f t="shared" si="5"/>
        <v>7.2776029857851976E-2</v>
      </c>
      <c r="T28" s="121">
        <f t="shared" si="6"/>
        <v>8280751639508.0879</v>
      </c>
      <c r="U28" s="121">
        <f t="shared" si="7"/>
        <v>-368790.31702960283</v>
      </c>
      <c r="V28" s="121">
        <f t="shared" si="8"/>
        <v>136006297934.79495</v>
      </c>
      <c r="W28"/>
    </row>
    <row r="29" spans="1:37" x14ac:dyDescent="0.2">
      <c r="A29" s="43">
        <v>43190</v>
      </c>
      <c r="B29" s="44">
        <v>41548740.249999993</v>
      </c>
      <c r="C29" s="44"/>
      <c r="D29" s="44">
        <f t="shared" si="2"/>
        <v>41548740.249999993</v>
      </c>
      <c r="E29" s="44"/>
      <c r="F29" s="44"/>
      <c r="G29" s="139">
        <f t="shared" si="3"/>
        <v>41548740.249999993</v>
      </c>
      <c r="H29" s="44">
        <v>287</v>
      </c>
      <c r="I29" s="44">
        <v>0</v>
      </c>
      <c r="J29" s="44">
        <v>31</v>
      </c>
      <c r="K29" s="142">
        <v>1</v>
      </c>
      <c r="L29" s="44">
        <v>28981.364235862318</v>
      </c>
      <c r="M29" s="44">
        <v>0</v>
      </c>
      <c r="N29" s="44">
        <v>27480792</v>
      </c>
      <c r="O29" s="44">
        <v>0</v>
      </c>
      <c r="P29" s="44">
        <f t="shared" si="4"/>
        <v>38565305.613815553</v>
      </c>
      <c r="Q29" s="29">
        <f t="shared" si="0"/>
        <v>-2983434.6361844391</v>
      </c>
      <c r="R29" s="37">
        <f t="shared" si="1"/>
        <v>-7.1805658083326354E-2</v>
      </c>
      <c r="S29" s="120">
        <f t="shared" si="5"/>
        <v>7.1805658083326354E-2</v>
      </c>
      <c r="T29" s="121">
        <f t="shared" si="6"/>
        <v>8900882228384.9766</v>
      </c>
      <c r="U29" s="121">
        <f t="shared" si="7"/>
        <v>-105805.11876770109</v>
      </c>
      <c r="V29" s="121">
        <f t="shared" si="8"/>
        <v>11194723157.447332</v>
      </c>
      <c r="W29"/>
      <c r="X29" s="168"/>
      <c r="Y29" s="168" t="s">
        <v>123</v>
      </c>
      <c r="Z29" s="168" t="s">
        <v>112</v>
      </c>
      <c r="AA29" s="168" t="s">
        <v>124</v>
      </c>
      <c r="AB29" s="168" t="s">
        <v>125</v>
      </c>
      <c r="AC29" s="168" t="s">
        <v>126</v>
      </c>
      <c r="AD29" s="168" t="s">
        <v>127</v>
      </c>
      <c r="AE29" s="168" t="s">
        <v>128</v>
      </c>
      <c r="AF29" s="168" t="s">
        <v>129</v>
      </c>
    </row>
    <row r="30" spans="1:37" x14ac:dyDescent="0.2">
      <c r="A30" s="43">
        <v>43220</v>
      </c>
      <c r="B30" s="44">
        <v>38285930.12999998</v>
      </c>
      <c r="C30" s="44"/>
      <c r="D30" s="44">
        <f t="shared" si="2"/>
        <v>38285930.12999998</v>
      </c>
      <c r="E30" s="44"/>
      <c r="F30" s="44"/>
      <c r="G30" s="139">
        <f t="shared" si="3"/>
        <v>38285930.12999998</v>
      </c>
      <c r="H30" s="44">
        <v>260.60000000000002</v>
      </c>
      <c r="I30" s="44">
        <v>0</v>
      </c>
      <c r="J30" s="44">
        <v>30</v>
      </c>
      <c r="K30" s="142">
        <v>1</v>
      </c>
      <c r="L30" s="44">
        <v>28999.500468672315</v>
      </c>
      <c r="M30" s="44">
        <v>0</v>
      </c>
      <c r="N30" s="44">
        <v>26263629</v>
      </c>
      <c r="O30" s="44">
        <v>0</v>
      </c>
      <c r="P30" s="44">
        <f t="shared" si="4"/>
        <v>37055269.071073063</v>
      </c>
      <c r="Q30" s="29">
        <f t="shared" si="0"/>
        <v>-1230661.0589269176</v>
      </c>
      <c r="R30" s="37">
        <f t="shared" si="1"/>
        <v>-3.2143950917431142E-2</v>
      </c>
      <c r="S30" s="120">
        <f t="shared" si="5"/>
        <v>3.2143950917431142E-2</v>
      </c>
      <c r="T30" s="121">
        <f t="shared" si="6"/>
        <v>1514526641959.1221</v>
      </c>
      <c r="U30" s="121">
        <f t="shared" si="7"/>
        <v>1752773.5772575215</v>
      </c>
      <c r="V30" s="121">
        <f t="shared" si="8"/>
        <v>3072215213132.1284</v>
      </c>
      <c r="W30"/>
      <c r="X30" t="s">
        <v>117</v>
      </c>
      <c r="Y30" s="180">
        <v>-17926218.561173148</v>
      </c>
      <c r="Z30">
        <v>9468118.6854322236</v>
      </c>
      <c r="AA30">
        <v>-1.8933242343861483</v>
      </c>
      <c r="AB30">
        <v>6.0895323864080378E-2</v>
      </c>
      <c r="AC30">
        <v>-36686082.064392231</v>
      </c>
      <c r="AD30">
        <v>833644.9420459345</v>
      </c>
      <c r="AE30">
        <v>-36686082.064392231</v>
      </c>
      <c r="AF30">
        <v>833644.9420459345</v>
      </c>
    </row>
    <row r="31" spans="1:37" x14ac:dyDescent="0.2">
      <c r="A31" s="43">
        <v>43251</v>
      </c>
      <c r="B31" s="44">
        <v>36063657.63000001</v>
      </c>
      <c r="C31" s="44"/>
      <c r="D31" s="44">
        <f t="shared" si="2"/>
        <v>36063657.63000001</v>
      </c>
      <c r="E31" s="44"/>
      <c r="F31" s="44"/>
      <c r="G31" s="139">
        <f t="shared" si="3"/>
        <v>36063657.63000001</v>
      </c>
      <c r="H31" s="44">
        <v>78.099999999999994</v>
      </c>
      <c r="I31" s="44">
        <v>28.4</v>
      </c>
      <c r="J31" s="44">
        <v>31</v>
      </c>
      <c r="K31" s="142">
        <v>1</v>
      </c>
      <c r="L31" s="44">
        <v>29017.652003749172</v>
      </c>
      <c r="M31" s="44">
        <v>0</v>
      </c>
      <c r="N31" s="44">
        <v>28175765</v>
      </c>
      <c r="O31" s="44">
        <v>0</v>
      </c>
      <c r="P31" s="44">
        <f t="shared" si="4"/>
        <v>37643558.049109936</v>
      </c>
      <c r="Q31" s="29">
        <f t="shared" si="0"/>
        <v>1579900.4191099256</v>
      </c>
      <c r="R31" s="37">
        <f t="shared" si="1"/>
        <v>4.3808657328081591E-2</v>
      </c>
      <c r="S31" s="120">
        <f t="shared" si="5"/>
        <v>4.3808657328081591E-2</v>
      </c>
      <c r="T31" s="121">
        <f t="shared" si="6"/>
        <v>2496085334303.7188</v>
      </c>
      <c r="U31" s="121">
        <f t="shared" si="7"/>
        <v>2810561.4780368432</v>
      </c>
      <c r="V31" s="121">
        <f t="shared" si="8"/>
        <v>7899255821824.6445</v>
      </c>
      <c r="W31"/>
      <c r="X31" t="s">
        <v>2</v>
      </c>
      <c r="Y31" s="180">
        <v>14016.485290118018</v>
      </c>
      <c r="Z31">
        <v>1280.3209744188978</v>
      </c>
      <c r="AA31">
        <v>10.947633890384177</v>
      </c>
      <c r="AB31">
        <v>2.0926367458345219E-19</v>
      </c>
      <c r="AC31">
        <v>11479.69339740945</v>
      </c>
      <c r="AD31">
        <v>16553.277182826587</v>
      </c>
      <c r="AE31">
        <v>11479.69339740945</v>
      </c>
      <c r="AF31">
        <v>16553.277182826587</v>
      </c>
    </row>
    <row r="32" spans="1:37" x14ac:dyDescent="0.2">
      <c r="A32" s="43">
        <v>43281</v>
      </c>
      <c r="B32" s="44">
        <v>38564071.070000008</v>
      </c>
      <c r="C32" s="44"/>
      <c r="D32" s="44">
        <f t="shared" si="2"/>
        <v>38564071.070000008</v>
      </c>
      <c r="E32" s="44"/>
      <c r="F32" s="44"/>
      <c r="G32" s="139">
        <f t="shared" si="3"/>
        <v>38564071.070000008</v>
      </c>
      <c r="H32" s="44">
        <v>11.2</v>
      </c>
      <c r="I32" s="44">
        <v>52.8</v>
      </c>
      <c r="J32" s="44">
        <v>30</v>
      </c>
      <c r="K32" s="142">
        <v>0</v>
      </c>
      <c r="L32" s="44">
        <v>29035.818851351021</v>
      </c>
      <c r="M32" s="44">
        <v>0</v>
      </c>
      <c r="N32" s="44">
        <v>28179726</v>
      </c>
      <c r="O32" s="44">
        <v>0</v>
      </c>
      <c r="P32" s="44">
        <f t="shared" si="4"/>
        <v>40172491.157841988</v>
      </c>
      <c r="Q32" s="29">
        <f t="shared" si="0"/>
        <v>1608420.0878419802</v>
      </c>
      <c r="R32" s="37">
        <f t="shared" si="1"/>
        <v>4.1707735807312414E-2</v>
      </c>
      <c r="S32" s="120">
        <f t="shared" si="5"/>
        <v>4.1707735807312414E-2</v>
      </c>
      <c r="T32" s="121">
        <f t="shared" si="6"/>
        <v>2587015178973.603</v>
      </c>
      <c r="U32" s="121">
        <f t="shared" si="7"/>
        <v>28519.668732054532</v>
      </c>
      <c r="V32" s="121">
        <f t="shared" si="8"/>
        <v>813371504.58612895</v>
      </c>
      <c r="W32"/>
      <c r="X32" t="s">
        <v>3</v>
      </c>
      <c r="Y32" s="180">
        <v>64432.59038839928</v>
      </c>
      <c r="Z32">
        <v>7930.4888982771918</v>
      </c>
      <c r="AA32">
        <v>8.1246681276354256</v>
      </c>
      <c r="AB32">
        <v>6.5588280738811493E-13</v>
      </c>
      <c r="AC32">
        <v>48719.343207163431</v>
      </c>
      <c r="AD32">
        <v>80145.837569635129</v>
      </c>
      <c r="AE32">
        <v>48719.343207163431</v>
      </c>
      <c r="AF32">
        <v>80145.837569635129</v>
      </c>
    </row>
    <row r="33" spans="1:32" x14ac:dyDescent="0.2">
      <c r="A33" s="43">
        <v>43312</v>
      </c>
      <c r="B33" s="44">
        <v>49628857.740000024</v>
      </c>
      <c r="C33" s="44"/>
      <c r="D33" s="44">
        <f t="shared" si="2"/>
        <v>49628857.740000024</v>
      </c>
      <c r="E33" s="44"/>
      <c r="F33" s="44"/>
      <c r="G33" s="139">
        <f t="shared" si="3"/>
        <v>49628857.740000024</v>
      </c>
      <c r="H33" s="44">
        <v>0</v>
      </c>
      <c r="I33" s="44">
        <v>142.30000000000001</v>
      </c>
      <c r="J33" s="44">
        <v>31</v>
      </c>
      <c r="K33" s="142">
        <v>0</v>
      </c>
      <c r="L33" s="44">
        <v>29054.001021744221</v>
      </c>
      <c r="M33" s="44">
        <v>1</v>
      </c>
      <c r="N33" s="44">
        <v>24785543</v>
      </c>
      <c r="O33" s="44">
        <v>0</v>
      </c>
      <c r="P33" s="44">
        <f t="shared" si="4"/>
        <v>49256993.088851489</v>
      </c>
      <c r="Q33" s="29">
        <f t="shared" si="0"/>
        <v>-371864.65114853531</v>
      </c>
      <c r="R33" s="37">
        <f t="shared" si="1"/>
        <v>-7.4929117469656904E-3</v>
      </c>
      <c r="S33" s="120">
        <f t="shared" si="5"/>
        <v>7.4929117469656904E-3</v>
      </c>
      <c r="T33" s="121">
        <f t="shared" si="6"/>
        <v>138283318773.82187</v>
      </c>
      <c r="U33" s="121">
        <f t="shared" si="7"/>
        <v>-1980284.7389905155</v>
      </c>
      <c r="V33" s="121">
        <f t="shared" si="8"/>
        <v>3921527647478.7339</v>
      </c>
      <c r="W33"/>
      <c r="X33" t="s">
        <v>64</v>
      </c>
      <c r="Y33" s="180">
        <v>892154.24600822199</v>
      </c>
      <c r="Z33">
        <v>209026.23965113424</v>
      </c>
      <c r="AA33">
        <v>4.2681447434409741</v>
      </c>
      <c r="AB33">
        <v>4.1432809410853953E-5</v>
      </c>
      <c r="AC33">
        <v>477995.54619388509</v>
      </c>
      <c r="AD33">
        <v>1306312.9458225588</v>
      </c>
      <c r="AE33">
        <v>477995.54619388509</v>
      </c>
      <c r="AF33">
        <v>1306312.9458225588</v>
      </c>
    </row>
    <row r="34" spans="1:32" x14ac:dyDescent="0.2">
      <c r="A34" s="43">
        <v>43343</v>
      </c>
      <c r="B34" s="44">
        <v>48629695.239999965</v>
      </c>
      <c r="C34" s="44"/>
      <c r="D34" s="44">
        <f t="shared" si="2"/>
        <v>48629695.239999965</v>
      </c>
      <c r="E34" s="44"/>
      <c r="F34" s="44"/>
      <c r="G34" s="139">
        <f t="shared" si="3"/>
        <v>48629695.239999965</v>
      </c>
      <c r="H34" s="44">
        <v>0</v>
      </c>
      <c r="I34" s="44">
        <v>160.80000000000001</v>
      </c>
      <c r="J34" s="44">
        <v>31</v>
      </c>
      <c r="K34" s="142">
        <v>0</v>
      </c>
      <c r="L34" s="44">
        <v>29072.198525203348</v>
      </c>
      <c r="M34" s="44">
        <v>1</v>
      </c>
      <c r="N34" s="44">
        <v>28118914</v>
      </c>
      <c r="O34" s="44">
        <v>0</v>
      </c>
      <c r="P34" s="44">
        <f t="shared" si="4"/>
        <v>51178533.050215833</v>
      </c>
      <c r="Q34" s="29">
        <f t="shared" si="0"/>
        <v>2548837.8102158681</v>
      </c>
      <c r="R34" s="37">
        <f t="shared" si="1"/>
        <v>5.2413197278673093E-2</v>
      </c>
      <c r="S34" s="120">
        <f t="shared" si="5"/>
        <v>5.2413197278673093E-2</v>
      </c>
      <c r="T34" s="121">
        <f t="shared" si="6"/>
        <v>6496574182786.0215</v>
      </c>
      <c r="U34" s="121">
        <f t="shared" si="7"/>
        <v>2920702.4613644034</v>
      </c>
      <c r="V34" s="121">
        <f t="shared" si="8"/>
        <v>8530502867820.084</v>
      </c>
      <c r="W34"/>
      <c r="X34" t="s">
        <v>13</v>
      </c>
      <c r="Y34" s="180">
        <v>-2772193.0013986034</v>
      </c>
      <c r="Z34">
        <v>407536.2917997787</v>
      </c>
      <c r="AA34">
        <v>-6.8023217985223585</v>
      </c>
      <c r="AB34">
        <v>5.2998822703458224E-10</v>
      </c>
      <c r="AC34">
        <v>-3579673.9235098897</v>
      </c>
      <c r="AD34">
        <v>-1964712.0792873171</v>
      </c>
      <c r="AE34">
        <v>-3579673.9235098897</v>
      </c>
      <c r="AF34">
        <v>-1964712.0792873171</v>
      </c>
    </row>
    <row r="35" spans="1:32" x14ac:dyDescent="0.2">
      <c r="A35" s="43">
        <v>43373</v>
      </c>
      <c r="B35" s="44">
        <v>41064153.550000027</v>
      </c>
      <c r="C35" s="44"/>
      <c r="D35" s="44">
        <f t="shared" si="2"/>
        <v>41064153.550000027</v>
      </c>
      <c r="E35" s="44"/>
      <c r="F35" s="44"/>
      <c r="G35" s="139">
        <f t="shared" si="3"/>
        <v>41064153.550000027</v>
      </c>
      <c r="H35" s="44">
        <v>34</v>
      </c>
      <c r="I35" s="44">
        <v>70.8</v>
      </c>
      <c r="J35" s="44">
        <v>30</v>
      </c>
      <c r="K35" s="142">
        <v>1</v>
      </c>
      <c r="L35" s="44">
        <v>29090.411372011204</v>
      </c>
      <c r="M35" s="44">
        <v>0</v>
      </c>
      <c r="N35" s="44">
        <v>26444395</v>
      </c>
      <c r="O35" s="44">
        <v>0</v>
      </c>
      <c r="P35" s="44">
        <f t="shared" ref="P35:P66" si="9">$Y$30+$Y$31*H35+$Y$32*I35+$Y$33*J35+$Y$34*K35+$Y$35*L35+$Y$36*M35+$Y$37*N35</f>
        <v>38547798.63375733</v>
      </c>
      <c r="Q35" s="29">
        <f t="shared" ref="Q35:Q66" si="10">P35-G35</f>
        <v>-2516354.9162426963</v>
      </c>
      <c r="R35" s="37">
        <f t="shared" ref="R35:R66" si="11">Q35/G35</f>
        <v>-6.1278626215411046E-2</v>
      </c>
      <c r="S35" s="120">
        <f t="shared" si="5"/>
        <v>6.1278626215411046E-2</v>
      </c>
      <c r="T35" s="121">
        <f t="shared" si="6"/>
        <v>6332042064498.7871</v>
      </c>
      <c r="U35" s="121">
        <f t="shared" si="7"/>
        <v>-5065192.7264585644</v>
      </c>
      <c r="V35" s="121">
        <f t="shared" si="8"/>
        <v>25656177356168.746</v>
      </c>
      <c r="W35"/>
      <c r="X35" t="s">
        <v>78</v>
      </c>
      <c r="Y35" s="180">
        <v>748.13707953307812</v>
      </c>
      <c r="Z35">
        <v>266.8215588411008</v>
      </c>
      <c r="AA35">
        <v>2.8038854235860802</v>
      </c>
      <c r="AB35">
        <v>5.95303744023806E-3</v>
      </c>
      <c r="AC35">
        <v>219.464363243962</v>
      </c>
      <c r="AD35">
        <v>1276.8097958221942</v>
      </c>
      <c r="AE35">
        <v>219.464363243962</v>
      </c>
      <c r="AF35">
        <v>1276.8097958221942</v>
      </c>
    </row>
    <row r="36" spans="1:32" x14ac:dyDescent="0.2">
      <c r="A36" s="43">
        <v>43404</v>
      </c>
      <c r="B36" s="44">
        <v>37443471.689999975</v>
      </c>
      <c r="C36" s="44"/>
      <c r="D36" s="44">
        <f t="shared" si="2"/>
        <v>37443471.689999975</v>
      </c>
      <c r="E36" s="44"/>
      <c r="F36" s="44"/>
      <c r="G36" s="139">
        <f t="shared" si="3"/>
        <v>37443471.689999975</v>
      </c>
      <c r="H36" s="44">
        <v>167.6</v>
      </c>
      <c r="I36" s="44">
        <v>12.5</v>
      </c>
      <c r="J36" s="44">
        <v>31</v>
      </c>
      <c r="K36" s="142">
        <v>1</v>
      </c>
      <c r="L36" s="44">
        <v>29108.639572458815</v>
      </c>
      <c r="M36" s="44">
        <v>0</v>
      </c>
      <c r="N36" s="44">
        <v>28462067</v>
      </c>
      <c r="O36" s="44">
        <v>0</v>
      </c>
      <c r="P36" s="44">
        <f t="shared" si="9"/>
        <v>38003116.814371079</v>
      </c>
      <c r="Q36" s="29">
        <f t="shared" si="10"/>
        <v>559645.12437110394</v>
      </c>
      <c r="R36" s="37">
        <f t="shared" si="11"/>
        <v>1.4946400510200776E-2</v>
      </c>
      <c r="S36" s="120">
        <f t="shared" si="5"/>
        <v>1.4946400510200776E-2</v>
      </c>
      <c r="T36" s="121">
        <f t="shared" si="6"/>
        <v>313202665232.34839</v>
      </c>
      <c r="U36" s="121">
        <f t="shared" si="7"/>
        <v>3076000.0406138003</v>
      </c>
      <c r="V36" s="121">
        <f t="shared" si="8"/>
        <v>9461776249856.1016</v>
      </c>
      <c r="W36"/>
      <c r="X36" t="s">
        <v>143</v>
      </c>
      <c r="Y36" s="180">
        <v>3297996.3985444172</v>
      </c>
      <c r="Z36">
        <v>818804.13850697095</v>
      </c>
      <c r="AA36">
        <v>4.0278208712502002</v>
      </c>
      <c r="AB36">
        <v>1.0282870965791121E-4</v>
      </c>
      <c r="AC36">
        <v>1675640.9566026323</v>
      </c>
      <c r="AD36">
        <v>4920351.8404862024</v>
      </c>
      <c r="AE36">
        <v>1675640.9566026323</v>
      </c>
      <c r="AF36">
        <v>4920351.8404862024</v>
      </c>
    </row>
    <row r="37" spans="1:32" ht="13.5" thickBot="1" x14ac:dyDescent="0.25">
      <c r="A37" s="43">
        <v>43434</v>
      </c>
      <c r="B37" s="44">
        <v>39843675.400000006</v>
      </c>
      <c r="C37" s="44"/>
      <c r="D37" s="44">
        <f t="shared" si="2"/>
        <v>39843675.400000006</v>
      </c>
      <c r="E37" s="44"/>
      <c r="F37" s="44"/>
      <c r="G37" s="139">
        <f t="shared" si="3"/>
        <v>39843675.400000006</v>
      </c>
      <c r="H37" s="44">
        <v>420.5</v>
      </c>
      <c r="I37" s="44">
        <v>0</v>
      </c>
      <c r="J37" s="44">
        <v>30</v>
      </c>
      <c r="K37" s="142">
        <v>1</v>
      </c>
      <c r="L37" s="44">
        <v>29126.883136845467</v>
      </c>
      <c r="M37" s="44">
        <v>0</v>
      </c>
      <c r="N37" s="44">
        <v>27990486</v>
      </c>
      <c r="O37" s="44">
        <v>0</v>
      </c>
      <c r="P37" s="44">
        <f t="shared" si="9"/>
        <v>39762689.471169211</v>
      </c>
      <c r="Q37" s="29">
        <f t="shared" si="10"/>
        <v>-80985.92883079499</v>
      </c>
      <c r="R37" s="37">
        <f t="shared" si="11"/>
        <v>-2.0325918233636392E-3</v>
      </c>
      <c r="S37" s="120">
        <f t="shared" si="5"/>
        <v>2.0325918233636392E-3</v>
      </c>
      <c r="T37" s="121">
        <f t="shared" si="6"/>
        <v>6558720668.5865908</v>
      </c>
      <c r="U37" s="121">
        <f t="shared" si="7"/>
        <v>-640631.05320189893</v>
      </c>
      <c r="V37" s="121">
        <f t="shared" si="8"/>
        <v>410408146326.57428</v>
      </c>
      <c r="W37"/>
      <c r="X37" s="167" t="s">
        <v>144</v>
      </c>
      <c r="Y37" s="181">
        <v>0.21477441667496774</v>
      </c>
      <c r="Z37" s="167">
        <v>6.1708932887355065E-2</v>
      </c>
      <c r="AA37" s="167">
        <v>3.4804428893142911</v>
      </c>
      <c r="AB37" s="167">
        <v>7.1443186964108144E-4</v>
      </c>
      <c r="AC37" s="167">
        <v>9.2506076325869047E-2</v>
      </c>
      <c r="AD37" s="167">
        <v>0.33704275702406644</v>
      </c>
      <c r="AE37" s="167">
        <v>9.2506076325869047E-2</v>
      </c>
      <c r="AF37" s="167">
        <v>0.33704275702406644</v>
      </c>
    </row>
    <row r="38" spans="1:32" x14ac:dyDescent="0.2">
      <c r="A38" s="43">
        <v>43465</v>
      </c>
      <c r="B38" s="44">
        <v>41914947.409999989</v>
      </c>
      <c r="C38" s="44"/>
      <c r="D38" s="44">
        <f t="shared" si="2"/>
        <v>41914947.409999989</v>
      </c>
      <c r="E38" s="44"/>
      <c r="F38" s="44"/>
      <c r="G38" s="139">
        <f t="shared" si="3"/>
        <v>41914947.409999989</v>
      </c>
      <c r="H38" s="44">
        <v>486.8</v>
      </c>
      <c r="I38" s="44">
        <v>0</v>
      </c>
      <c r="J38" s="44">
        <v>31</v>
      </c>
      <c r="K38" s="142">
        <v>0</v>
      </c>
      <c r="L38" s="44">
        <v>29145.142075478685</v>
      </c>
      <c r="M38" s="44">
        <v>0</v>
      </c>
      <c r="N38" s="44">
        <v>24418226</v>
      </c>
      <c r="O38" s="44">
        <v>0</v>
      </c>
      <c r="P38" s="44">
        <f t="shared" si="9"/>
        <v>43602759.82462398</v>
      </c>
      <c r="Q38" s="29">
        <f t="shared" si="10"/>
        <v>1687812.4146239907</v>
      </c>
      <c r="R38" s="37">
        <f t="shared" si="11"/>
        <v>4.0267554152324081E-2</v>
      </c>
      <c r="S38" s="120">
        <f t="shared" si="5"/>
        <v>4.0267554152324081E-2</v>
      </c>
      <c r="T38" s="121">
        <f t="shared" si="6"/>
        <v>2848710746958.8657</v>
      </c>
      <c r="U38" s="121">
        <f t="shared" si="7"/>
        <v>1768798.3434547856</v>
      </c>
      <c r="V38" s="121">
        <f t="shared" si="8"/>
        <v>3128647579808.394</v>
      </c>
      <c r="W38"/>
    </row>
    <row r="39" spans="1:32" x14ac:dyDescent="0.2">
      <c r="A39" s="43">
        <v>43496</v>
      </c>
      <c r="B39" s="44">
        <v>46622026.859999999</v>
      </c>
      <c r="C39" s="44"/>
      <c r="D39" s="44">
        <f t="shared" si="2"/>
        <v>46622026.859999999</v>
      </c>
      <c r="E39" s="44"/>
      <c r="F39" s="44"/>
      <c r="G39" s="139">
        <f t="shared" si="3"/>
        <v>46622026.859999999</v>
      </c>
      <c r="H39" s="44">
        <v>706.7</v>
      </c>
      <c r="I39" s="44">
        <v>0</v>
      </c>
      <c r="J39" s="44">
        <v>31</v>
      </c>
      <c r="K39" s="142">
        <v>0</v>
      </c>
      <c r="L39" s="44">
        <v>29169.63392528757</v>
      </c>
      <c r="M39" s="44">
        <v>0</v>
      </c>
      <c r="N39" s="44">
        <v>25785115</v>
      </c>
      <c r="O39" s="44">
        <v>0</v>
      </c>
      <c r="P39" s="44">
        <f t="shared" si="9"/>
        <v>46996880.988543741</v>
      </c>
      <c r="Q39" s="29">
        <f t="shared" si="10"/>
        <v>374854.128543742</v>
      </c>
      <c r="R39" s="37">
        <f t="shared" si="11"/>
        <v>8.0402795371677244E-3</v>
      </c>
      <c r="S39" s="120">
        <f t="shared" si="5"/>
        <v>8.0402795371677244E-3</v>
      </c>
      <c r="T39" s="121">
        <f t="shared" si="6"/>
        <v>140515617686.28824</v>
      </c>
      <c r="U39" s="121">
        <f t="shared" si="7"/>
        <v>-1312958.2860802487</v>
      </c>
      <c r="V39" s="121">
        <f t="shared" si="8"/>
        <v>1723859460986.7842</v>
      </c>
      <c r="W39"/>
      <c r="X39" s="39" t="s">
        <v>102</v>
      </c>
      <c r="Y39" s="137">
        <f>S123</f>
        <v>3.1811635288221285E-2</v>
      </c>
    </row>
    <row r="40" spans="1:32" x14ac:dyDescent="0.2">
      <c r="A40" s="43">
        <v>43524</v>
      </c>
      <c r="B40" s="44">
        <v>41188691.579999998</v>
      </c>
      <c r="C40" s="44"/>
      <c r="D40" s="44">
        <f t="shared" si="2"/>
        <v>41188691.579999998</v>
      </c>
      <c r="E40" s="44"/>
      <c r="F40" s="44"/>
      <c r="G40" s="139">
        <f t="shared" si="3"/>
        <v>41188691.579999998</v>
      </c>
      <c r="H40" s="44">
        <v>552.20000000000005</v>
      </c>
      <c r="I40" s="44">
        <v>0</v>
      </c>
      <c r="J40" s="44">
        <v>28</v>
      </c>
      <c r="K40" s="142">
        <v>0</v>
      </c>
      <c r="L40" s="44">
        <v>29194.153487885429</v>
      </c>
      <c r="M40" s="44">
        <v>0</v>
      </c>
      <c r="N40" s="44">
        <v>24283797</v>
      </c>
      <c r="O40" s="44">
        <v>0</v>
      </c>
      <c r="P40" s="44">
        <f t="shared" si="9"/>
        <v>41850770.569455601</v>
      </c>
      <c r="Q40" s="29">
        <f t="shared" si="10"/>
        <v>662078.98945560306</v>
      </c>
      <c r="R40" s="37">
        <f t="shared" si="11"/>
        <v>1.6074290395208593E-2</v>
      </c>
      <c r="S40" s="120">
        <f t="shared" si="5"/>
        <v>1.6074290395208593E-2</v>
      </c>
      <c r="T40" s="121">
        <f t="shared" si="6"/>
        <v>438348588278.55255</v>
      </c>
      <c r="U40" s="121">
        <f t="shared" si="7"/>
        <v>287224.86091186106</v>
      </c>
      <c r="V40" s="121">
        <f t="shared" si="8"/>
        <v>82498120725.837936</v>
      </c>
      <c r="W40"/>
    </row>
    <row r="41" spans="1:32" x14ac:dyDescent="0.2">
      <c r="A41" s="43">
        <v>43555</v>
      </c>
      <c r="B41" s="44">
        <v>42070897.649999976</v>
      </c>
      <c r="C41" s="44"/>
      <c r="D41" s="44">
        <f t="shared" si="2"/>
        <v>42070897.649999976</v>
      </c>
      <c r="E41" s="44"/>
      <c r="F41" s="44"/>
      <c r="G41" s="139">
        <f t="shared" si="3"/>
        <v>42070897.649999976</v>
      </c>
      <c r="H41" s="44">
        <v>505.4</v>
      </c>
      <c r="I41" s="44">
        <v>0</v>
      </c>
      <c r="J41" s="44">
        <v>31</v>
      </c>
      <c r="K41" s="142">
        <v>1</v>
      </c>
      <c r="L41" s="44">
        <v>29218.700770366631</v>
      </c>
      <c r="M41" s="44">
        <v>0</v>
      </c>
      <c r="N41" s="44">
        <v>27688795</v>
      </c>
      <c r="O41" s="44">
        <v>0</v>
      </c>
      <c r="P41" s="44">
        <f t="shared" si="9"/>
        <v>41848739.98595953</v>
      </c>
      <c r="Q41" s="29">
        <f t="shared" si="10"/>
        <v>-222157.66404044628</v>
      </c>
      <c r="R41" s="37">
        <f t="shared" si="11"/>
        <v>-5.2805544081478946E-3</v>
      </c>
      <c r="S41" s="120">
        <f t="shared" si="5"/>
        <v>5.2805544081478946E-3</v>
      </c>
      <c r="T41" s="121">
        <f t="shared" si="6"/>
        <v>49354027691.907799</v>
      </c>
      <c r="U41" s="121">
        <f t="shared" si="7"/>
        <v>-884236.65349604934</v>
      </c>
      <c r="V41" s="121">
        <f t="shared" si="8"/>
        <v>781874459385.89246</v>
      </c>
      <c r="W41"/>
      <c r="X41" t="s">
        <v>103</v>
      </c>
      <c r="Y41" s="125">
        <f>V123</f>
        <v>544278010343251.56</v>
      </c>
    </row>
    <row r="42" spans="1:32" x14ac:dyDescent="0.2">
      <c r="A42" s="43">
        <v>43585</v>
      </c>
      <c r="B42" s="44">
        <v>36296821.840000033</v>
      </c>
      <c r="C42" s="44"/>
      <c r="D42" s="44">
        <f t="shared" si="2"/>
        <v>36296821.840000033</v>
      </c>
      <c r="E42" s="44"/>
      <c r="F42" s="44"/>
      <c r="G42" s="139">
        <f t="shared" si="3"/>
        <v>36296821.840000033</v>
      </c>
      <c r="H42" s="44">
        <v>362.5</v>
      </c>
      <c r="I42" s="44">
        <v>0</v>
      </c>
      <c r="J42" s="44">
        <v>30</v>
      </c>
      <c r="K42" s="142">
        <v>1</v>
      </c>
      <c r="L42" s="44">
        <v>29243.275779915406</v>
      </c>
      <c r="M42" s="44">
        <v>0</v>
      </c>
      <c r="N42" s="44">
        <v>26428544</v>
      </c>
      <c r="O42" s="44">
        <v>0</v>
      </c>
      <c r="P42" s="44">
        <f t="shared" si="9"/>
        <v>38701345.794477724</v>
      </c>
      <c r="Q42" s="29">
        <f t="shared" si="10"/>
        <v>2404523.9544776902</v>
      </c>
      <c r="R42" s="37">
        <f t="shared" si="11"/>
        <v>6.6246129346449911E-2</v>
      </c>
      <c r="S42" s="120">
        <f t="shared" si="5"/>
        <v>6.6246129346449911E-2</v>
      </c>
      <c r="T42" s="121">
        <f t="shared" si="6"/>
        <v>5781735447657.0293</v>
      </c>
      <c r="U42" s="121">
        <f t="shared" si="7"/>
        <v>2626681.6185181364</v>
      </c>
      <c r="V42" s="121">
        <f t="shared" si="8"/>
        <v>6899456325061.0566</v>
      </c>
      <c r="W42"/>
      <c r="X42" t="s">
        <v>104</v>
      </c>
      <c r="Y42" s="125">
        <f>T123</f>
        <v>316379131036415.19</v>
      </c>
    </row>
    <row r="43" spans="1:32" x14ac:dyDescent="0.2">
      <c r="A43" s="43">
        <v>43616</v>
      </c>
      <c r="B43" s="44">
        <v>35335301.459999986</v>
      </c>
      <c r="C43" s="44"/>
      <c r="D43" s="44">
        <f t="shared" si="2"/>
        <v>35335301.459999986</v>
      </c>
      <c r="E43" s="44"/>
      <c r="F43" s="44"/>
      <c r="G43" s="139">
        <f t="shared" si="3"/>
        <v>35335301.459999986</v>
      </c>
      <c r="H43" s="44">
        <v>167.4</v>
      </c>
      <c r="I43" s="44">
        <v>1.8</v>
      </c>
      <c r="J43" s="44">
        <v>31</v>
      </c>
      <c r="K43" s="142">
        <v>1</v>
      </c>
      <c r="L43" s="44">
        <v>29267.878523805579</v>
      </c>
      <c r="M43" s="44">
        <v>0</v>
      </c>
      <c r="N43" s="44">
        <v>29199081</v>
      </c>
      <c r="O43" s="44">
        <v>0</v>
      </c>
      <c r="P43" s="44">
        <f t="shared" si="9"/>
        <v>37588309.116096944</v>
      </c>
      <c r="Q43" s="29">
        <f t="shared" si="10"/>
        <v>2253007.6560969576</v>
      </c>
      <c r="R43" s="37">
        <f t="shared" si="11"/>
        <v>6.3760816039659121E-2</v>
      </c>
      <c r="S43" s="120">
        <f t="shared" si="5"/>
        <v>6.3760816039659121E-2</v>
      </c>
      <c r="T43" s="121">
        <f t="shared" si="6"/>
        <v>5076043498431.5068</v>
      </c>
      <c r="U43" s="121">
        <f t="shared" si="7"/>
        <v>-151516.29838073254</v>
      </c>
      <c r="V43" s="121">
        <f t="shared" si="8"/>
        <v>22957188674.999172</v>
      </c>
      <c r="W43"/>
    </row>
    <row r="44" spans="1:32" x14ac:dyDescent="0.2">
      <c r="A44" s="43">
        <v>43646</v>
      </c>
      <c r="B44" s="44">
        <v>36918421.580000013</v>
      </c>
      <c r="C44" s="44"/>
      <c r="D44" s="44">
        <f t="shared" si="2"/>
        <v>36918421.580000013</v>
      </c>
      <c r="E44" s="44"/>
      <c r="F44" s="44"/>
      <c r="G44" s="139">
        <f t="shared" si="3"/>
        <v>36918421.580000013</v>
      </c>
      <c r="H44" s="44">
        <v>37.200000000000003</v>
      </c>
      <c r="I44" s="44">
        <v>36.799999999999997</v>
      </c>
      <c r="J44" s="44">
        <v>30</v>
      </c>
      <c r="K44" s="142">
        <v>0</v>
      </c>
      <c r="L44" s="44">
        <v>29292.509009400277</v>
      </c>
      <c r="M44" s="44">
        <v>0</v>
      </c>
      <c r="N44" s="44">
        <v>27741318</v>
      </c>
      <c r="O44" s="44">
        <v>0</v>
      </c>
      <c r="P44" s="44">
        <f t="shared" si="9"/>
        <v>39603878.931892887</v>
      </c>
      <c r="Q44" s="29">
        <f t="shared" si="10"/>
        <v>2685457.3518928736</v>
      </c>
      <c r="R44" s="37">
        <f t="shared" si="11"/>
        <v>7.2740307872416698E-2</v>
      </c>
      <c r="S44" s="120">
        <f t="shared" si="5"/>
        <v>7.2740307872416698E-2</v>
      </c>
      <c r="T44" s="121">
        <f t="shared" si="6"/>
        <v>7211681188835.4854</v>
      </c>
      <c r="U44" s="121">
        <f t="shared" si="7"/>
        <v>432449.69579591602</v>
      </c>
      <c r="V44" s="121">
        <f t="shared" si="8"/>
        <v>187012739393.98032</v>
      </c>
      <c r="W44"/>
      <c r="X44" t="s">
        <v>105</v>
      </c>
      <c r="Y44" s="138">
        <f>Y41/Y42</f>
        <v>1.7203347406646909</v>
      </c>
    </row>
    <row r="45" spans="1:32" x14ac:dyDescent="0.2">
      <c r="A45" s="43">
        <v>43677</v>
      </c>
      <c r="B45" s="44">
        <v>48958080.650000021</v>
      </c>
      <c r="C45" s="44"/>
      <c r="D45" s="44">
        <f t="shared" si="2"/>
        <v>48958080.650000021</v>
      </c>
      <c r="E45" s="44"/>
      <c r="F45" s="44"/>
      <c r="G45" s="139">
        <f t="shared" si="3"/>
        <v>48958080.650000021</v>
      </c>
      <c r="H45" s="44">
        <v>0</v>
      </c>
      <c r="I45" s="44">
        <v>150.5</v>
      </c>
      <c r="J45" s="44">
        <v>31</v>
      </c>
      <c r="K45" s="142">
        <v>0</v>
      </c>
      <c r="L45" s="44">
        <v>29317.167244151682</v>
      </c>
      <c r="M45" s="44">
        <v>1</v>
      </c>
      <c r="N45" s="44">
        <v>24905053</v>
      </c>
      <c r="O45" s="44">
        <v>0</v>
      </c>
      <c r="P45" s="44">
        <f t="shared" si="9"/>
        <v>50007892.429636858</v>
      </c>
      <c r="Q45" s="29">
        <f t="shared" si="10"/>
        <v>1049811.7796368375</v>
      </c>
      <c r="R45" s="37">
        <f t="shared" si="11"/>
        <v>2.1443074681418033E-2</v>
      </c>
      <c r="S45" s="120">
        <f t="shared" si="5"/>
        <v>2.1443074681418033E-2</v>
      </c>
      <c r="T45" s="121">
        <f t="shared" si="6"/>
        <v>1102104772664.2639</v>
      </c>
      <c r="U45" s="121">
        <f t="shared" si="7"/>
        <v>-1635645.5722560361</v>
      </c>
      <c r="V45" s="121">
        <f t="shared" si="8"/>
        <v>2675336438040.7759</v>
      </c>
      <c r="W45"/>
    </row>
    <row r="46" spans="1:32" x14ac:dyDescent="0.2">
      <c r="A46" s="43">
        <v>43708</v>
      </c>
      <c r="B46" s="44">
        <v>45777930.170000002</v>
      </c>
      <c r="C46" s="44"/>
      <c r="D46" s="44">
        <f t="shared" si="2"/>
        <v>45777930.170000002</v>
      </c>
      <c r="E46" s="44"/>
      <c r="F46" s="44"/>
      <c r="G46" s="139">
        <f t="shared" si="3"/>
        <v>45777930.170000002</v>
      </c>
      <c r="H46" s="44">
        <v>2</v>
      </c>
      <c r="I46" s="44">
        <v>92.2</v>
      </c>
      <c r="J46" s="44">
        <v>31</v>
      </c>
      <c r="K46" s="142">
        <v>0</v>
      </c>
      <c r="L46" s="44">
        <v>29341.853235600767</v>
      </c>
      <c r="M46" s="44">
        <v>1</v>
      </c>
      <c r="N46" s="44">
        <v>27300101</v>
      </c>
      <c r="O46" s="44">
        <v>0</v>
      </c>
      <c r="P46" s="44">
        <f t="shared" si="9"/>
        <v>46812368.923230059</v>
      </c>
      <c r="Q46" s="29">
        <f t="shared" si="10"/>
        <v>1034438.7532300577</v>
      </c>
      <c r="R46" s="37">
        <f t="shared" si="11"/>
        <v>2.2596887831944055E-2</v>
      </c>
      <c r="S46" s="120">
        <f t="shared" si="5"/>
        <v>2.2596887831944055E-2</v>
      </c>
      <c r="T46" s="121">
        <f t="shared" si="6"/>
        <v>1070063534184.1561</v>
      </c>
      <c r="U46" s="121">
        <f t="shared" si="7"/>
        <v>-15373.026406779885</v>
      </c>
      <c r="V46" s="121">
        <f t="shared" si="8"/>
        <v>236329940.90355167</v>
      </c>
      <c r="W46"/>
    </row>
    <row r="47" spans="1:32" x14ac:dyDescent="0.2">
      <c r="A47" s="43">
        <v>43738</v>
      </c>
      <c r="B47" s="44">
        <v>37514501.140000001</v>
      </c>
      <c r="C47" s="44"/>
      <c r="D47" s="44">
        <f t="shared" si="2"/>
        <v>37514501.140000001</v>
      </c>
      <c r="E47" s="44"/>
      <c r="F47" s="44"/>
      <c r="G47" s="139">
        <f t="shared" si="3"/>
        <v>37514501.140000001</v>
      </c>
      <c r="H47" s="44">
        <v>44.5</v>
      </c>
      <c r="I47" s="44">
        <v>18.2</v>
      </c>
      <c r="J47" s="44">
        <v>30</v>
      </c>
      <c r="K47" s="142">
        <v>1</v>
      </c>
      <c r="L47" s="44">
        <v>29366.566991376993</v>
      </c>
      <c r="M47" s="44">
        <v>0</v>
      </c>
      <c r="N47" s="44">
        <v>26985608</v>
      </c>
      <c r="O47" s="44">
        <v>0</v>
      </c>
      <c r="P47" s="44">
        <f t="shared" si="9"/>
        <v>35628658.43981465</v>
      </c>
      <c r="Q47" s="29">
        <f t="shared" si="10"/>
        <v>-1885842.7001853511</v>
      </c>
      <c r="R47" s="37">
        <f t="shared" si="11"/>
        <v>-5.0269699526260342E-2</v>
      </c>
      <c r="S47" s="120">
        <f t="shared" si="5"/>
        <v>5.0269699526260342E-2</v>
      </c>
      <c r="T47" s="121">
        <f t="shared" si="6"/>
        <v>3556402689842.376</v>
      </c>
      <c r="U47" s="121">
        <f t="shared" si="7"/>
        <v>-2920281.4534154087</v>
      </c>
      <c r="V47" s="121">
        <f t="shared" si="8"/>
        <v>8528043767162.0117</v>
      </c>
      <c r="W47"/>
    </row>
    <row r="48" spans="1:32" x14ac:dyDescent="0.2">
      <c r="A48" s="43">
        <v>43769</v>
      </c>
      <c r="B48" s="44">
        <v>36374484.030000001</v>
      </c>
      <c r="C48" s="44"/>
      <c r="D48" s="44">
        <f t="shared" si="2"/>
        <v>36374484.030000001</v>
      </c>
      <c r="E48" s="44"/>
      <c r="F48" s="44"/>
      <c r="G48" s="139">
        <f t="shared" si="3"/>
        <v>36374484.030000001</v>
      </c>
      <c r="H48" s="44">
        <v>188.6</v>
      </c>
      <c r="I48" s="44">
        <v>2.2999999999999998</v>
      </c>
      <c r="J48" s="44">
        <v>31</v>
      </c>
      <c r="K48" s="142">
        <v>1</v>
      </c>
      <c r="L48" s="44">
        <v>29391.308519198094</v>
      </c>
      <c r="M48" s="44">
        <v>0</v>
      </c>
      <c r="N48" s="44">
        <v>27257415</v>
      </c>
      <c r="O48" s="44">
        <v>0</v>
      </c>
      <c r="P48" s="44">
        <f t="shared" si="9"/>
        <v>37592997.273193762</v>
      </c>
      <c r="Q48" s="29">
        <f t="shared" si="10"/>
        <v>1218513.2431937605</v>
      </c>
      <c r="R48" s="37">
        <f t="shared" si="11"/>
        <v>3.3499121037394976E-2</v>
      </c>
      <c r="S48" s="120">
        <f t="shared" si="5"/>
        <v>3.3499121037394976E-2</v>
      </c>
      <c r="T48" s="121">
        <f t="shared" si="6"/>
        <v>1484774523838.5767</v>
      </c>
      <c r="U48" s="121">
        <f t="shared" si="7"/>
        <v>3104355.9433791116</v>
      </c>
      <c r="V48" s="121">
        <f t="shared" si="8"/>
        <v>9637025823193.2148</v>
      </c>
      <c r="W48"/>
    </row>
    <row r="49" spans="1:23" x14ac:dyDescent="0.2">
      <c r="A49" s="43">
        <v>43799</v>
      </c>
      <c r="B49" s="44">
        <v>40089238.080000013</v>
      </c>
      <c r="C49" s="44"/>
      <c r="D49" s="44">
        <f t="shared" si="2"/>
        <v>40089238.080000013</v>
      </c>
      <c r="E49" s="44"/>
      <c r="F49" s="44"/>
      <c r="G49" s="139">
        <f t="shared" si="3"/>
        <v>40089238.080000013</v>
      </c>
      <c r="H49" s="44">
        <v>413.3</v>
      </c>
      <c r="I49" s="44">
        <v>0</v>
      </c>
      <c r="J49" s="44">
        <v>30</v>
      </c>
      <c r="K49" s="142">
        <v>1</v>
      </c>
      <c r="L49" s="44">
        <v>29416.077826869765</v>
      </c>
      <c r="M49" s="44">
        <v>0</v>
      </c>
      <c r="N49" s="44">
        <v>26937494</v>
      </c>
      <c r="O49" s="44">
        <v>0</v>
      </c>
      <c r="P49" s="44">
        <f t="shared" si="9"/>
        <v>39651972.305328213</v>
      </c>
      <c r="Q49" s="29">
        <f t="shared" si="10"/>
        <v>-437265.77467180043</v>
      </c>
      <c r="R49" s="37">
        <f t="shared" si="11"/>
        <v>-1.0907310680218352E-2</v>
      </c>
      <c r="S49" s="120">
        <f t="shared" si="5"/>
        <v>1.0907310680218352E-2</v>
      </c>
      <c r="T49" s="121">
        <f t="shared" si="6"/>
        <v>191201357699.32974</v>
      </c>
      <c r="U49" s="121">
        <f t="shared" si="7"/>
        <v>-1655779.0178655609</v>
      </c>
      <c r="V49" s="121">
        <f t="shared" si="8"/>
        <v>2741604156003.8418</v>
      </c>
      <c r="W49"/>
    </row>
    <row r="50" spans="1:23" x14ac:dyDescent="0.2">
      <c r="A50" s="43">
        <v>43830</v>
      </c>
      <c r="B50" s="44">
        <v>42739198.629999965</v>
      </c>
      <c r="C50" s="44"/>
      <c r="D50" s="44">
        <f t="shared" si="2"/>
        <v>42739198.629999965</v>
      </c>
      <c r="E50" s="44"/>
      <c r="F50" s="44"/>
      <c r="G50" s="139">
        <f t="shared" si="3"/>
        <v>42739198.629999965</v>
      </c>
      <c r="H50" s="44">
        <v>536.6</v>
      </c>
      <c r="I50" s="44">
        <v>0</v>
      </c>
      <c r="J50" s="44">
        <v>31</v>
      </c>
      <c r="K50" s="142">
        <v>0</v>
      </c>
      <c r="L50" s="44">
        <v>29440.874922285439</v>
      </c>
      <c r="M50" s="44">
        <v>0</v>
      </c>
      <c r="N50" s="44">
        <v>24304667</v>
      </c>
      <c r="O50" s="44">
        <v>0</v>
      </c>
      <c r="P50" s="44">
        <f t="shared" si="9"/>
        <v>44497639.932420664</v>
      </c>
      <c r="Q50" s="29">
        <f t="shared" si="10"/>
        <v>1758441.3024206981</v>
      </c>
      <c r="R50" s="37">
        <f t="shared" si="11"/>
        <v>4.1143525353477116E-2</v>
      </c>
      <c r="S50" s="120">
        <f t="shared" si="5"/>
        <v>4.1143525353477116E-2</v>
      </c>
      <c r="T50" s="121">
        <f t="shared" si="6"/>
        <v>3092115814059.001</v>
      </c>
      <c r="U50" s="121">
        <f t="shared" si="7"/>
        <v>2195707.0770924985</v>
      </c>
      <c r="V50" s="121">
        <f t="shared" si="8"/>
        <v>4821129568394.083</v>
      </c>
      <c r="W50"/>
    </row>
    <row r="51" spans="1:23" x14ac:dyDescent="0.2">
      <c r="A51" s="43">
        <v>43861</v>
      </c>
      <c r="B51" s="44">
        <v>44000407</v>
      </c>
      <c r="C51" s="44"/>
      <c r="D51" s="44">
        <f t="shared" si="2"/>
        <v>44000407</v>
      </c>
      <c r="E51" s="44"/>
      <c r="F51" s="44"/>
      <c r="G51" s="139">
        <f t="shared" si="3"/>
        <v>44000407</v>
      </c>
      <c r="H51" s="139">
        <v>580</v>
      </c>
      <c r="I51" s="139">
        <v>0</v>
      </c>
      <c r="J51" s="44">
        <v>31</v>
      </c>
      <c r="K51" s="142">
        <v>0</v>
      </c>
      <c r="L51" s="44">
        <v>29463.434445217168</v>
      </c>
      <c r="M51" s="44">
        <v>0</v>
      </c>
      <c r="N51" s="44">
        <v>24323231</v>
      </c>
      <c r="O51" s="44">
        <v>0</v>
      </c>
      <c r="P51" s="44">
        <f t="shared" si="9"/>
        <v>45126820.081884749</v>
      </c>
      <c r="Q51" s="29">
        <f t="shared" si="10"/>
        <v>1126413.0818847492</v>
      </c>
      <c r="R51" s="37">
        <f t="shared" si="11"/>
        <v>2.5600060515002718E-2</v>
      </c>
      <c r="S51" s="120">
        <f t="shared" si="5"/>
        <v>2.5600060515002718E-2</v>
      </c>
      <c r="T51" s="121">
        <f t="shared" si="6"/>
        <v>1268806431041.0989</v>
      </c>
      <c r="U51" s="121">
        <f t="shared" si="7"/>
        <v>-632028.22053594887</v>
      </c>
      <c r="V51" s="121">
        <f t="shared" si="8"/>
        <v>399459671553.83801</v>
      </c>
      <c r="W51"/>
    </row>
    <row r="52" spans="1:23" x14ac:dyDescent="0.2">
      <c r="A52" s="43">
        <v>43890</v>
      </c>
      <c r="B52" s="44">
        <v>41219886</v>
      </c>
      <c r="C52" s="44"/>
      <c r="D52" s="44">
        <f t="shared" si="2"/>
        <v>41219886</v>
      </c>
      <c r="E52" s="44"/>
      <c r="F52" s="44"/>
      <c r="G52" s="139">
        <f t="shared" si="3"/>
        <v>41219886</v>
      </c>
      <c r="H52" s="44">
        <v>544.9</v>
      </c>
      <c r="I52" s="44">
        <v>0</v>
      </c>
      <c r="J52" s="44">
        <v>29</v>
      </c>
      <c r="K52" s="142">
        <v>0</v>
      </c>
      <c r="L52" s="44">
        <v>29486.014401294655</v>
      </c>
      <c r="M52" s="44">
        <v>0</v>
      </c>
      <c r="N52" s="44">
        <v>24448125</v>
      </c>
      <c r="O52" s="44">
        <v>0</v>
      </c>
      <c r="P52" s="44">
        <f t="shared" si="9"/>
        <v>42894249.89457716</v>
      </c>
      <c r="Q52" s="29">
        <f t="shared" si="10"/>
        <v>1674363.8945771605</v>
      </c>
      <c r="R52" s="37">
        <f t="shared" si="11"/>
        <v>4.0620294160375901E-2</v>
      </c>
      <c r="S52" s="120">
        <f t="shared" si="5"/>
        <v>4.0620294160375901E-2</v>
      </c>
      <c r="T52" s="121">
        <f t="shared" si="6"/>
        <v>2803494451463.5967</v>
      </c>
      <c r="U52" s="121">
        <f t="shared" si="7"/>
        <v>547950.81269241124</v>
      </c>
      <c r="V52" s="121">
        <f t="shared" si="8"/>
        <v>300250093130.27393</v>
      </c>
      <c r="W52"/>
    </row>
    <row r="53" spans="1:23" x14ac:dyDescent="0.2">
      <c r="A53" s="43">
        <v>43921</v>
      </c>
      <c r="B53" s="44">
        <v>39943443</v>
      </c>
      <c r="C53" s="44"/>
      <c r="D53" s="44">
        <f t="shared" si="2"/>
        <v>39943443</v>
      </c>
      <c r="E53" s="44"/>
      <c r="F53" s="44"/>
      <c r="G53" s="139">
        <f t="shared" si="3"/>
        <v>39943443</v>
      </c>
      <c r="H53" s="44">
        <v>381.5</v>
      </c>
      <c r="I53" s="44">
        <v>0</v>
      </c>
      <c r="J53" s="44">
        <v>31</v>
      </c>
      <c r="K53" s="142">
        <v>1</v>
      </c>
      <c r="L53" s="44">
        <v>29508.614810709521</v>
      </c>
      <c r="M53" s="44">
        <v>0</v>
      </c>
      <c r="N53" s="44">
        <v>23426971</v>
      </c>
      <c r="O53" s="178">
        <v>0.5</v>
      </c>
      <c r="P53" s="44">
        <f t="shared" si="9"/>
        <v>39413662.138400294</v>
      </c>
      <c r="Q53" s="29">
        <f t="shared" si="10"/>
        <v>-529780.86159970611</v>
      </c>
      <c r="R53" s="37">
        <f t="shared" si="11"/>
        <v>-1.3263274815836635E-2</v>
      </c>
      <c r="S53" s="120">
        <f t="shared" si="5"/>
        <v>1.3263274815836635E-2</v>
      </c>
      <c r="T53" s="121">
        <f t="shared" si="6"/>
        <v>280667761317.32697</v>
      </c>
      <c r="U53" s="121">
        <f t="shared" si="7"/>
        <v>-2204144.7561768666</v>
      </c>
      <c r="V53" s="121">
        <f t="shared" si="8"/>
        <v>4858254106181.9785</v>
      </c>
      <c r="W53"/>
    </row>
    <row r="54" spans="1:23" x14ac:dyDescent="0.2">
      <c r="A54" s="43">
        <v>43951</v>
      </c>
      <c r="B54" s="44">
        <v>34785312</v>
      </c>
      <c r="C54" s="44"/>
      <c r="D54" s="44">
        <f t="shared" si="2"/>
        <v>34785312</v>
      </c>
      <c r="E54" s="44"/>
      <c r="F54" s="44"/>
      <c r="G54" s="139">
        <f t="shared" si="3"/>
        <v>34785312</v>
      </c>
      <c r="H54" s="44">
        <v>298.60000000000002</v>
      </c>
      <c r="I54" s="44">
        <v>0</v>
      </c>
      <c r="J54" s="44">
        <v>30</v>
      </c>
      <c r="K54" s="142">
        <v>1</v>
      </c>
      <c r="L54" s="44">
        <v>29531.23569367926</v>
      </c>
      <c r="M54" s="44">
        <v>0</v>
      </c>
      <c r="N54" s="44">
        <v>13875633</v>
      </c>
      <c r="O54" s="139">
        <v>1</v>
      </c>
      <c r="P54" s="44">
        <f t="shared" si="9"/>
        <v>35325081.735747278</v>
      </c>
      <c r="Q54" s="29">
        <f t="shared" si="10"/>
        <v>539769.73574727774</v>
      </c>
      <c r="R54" s="37">
        <f t="shared" si="11"/>
        <v>1.5517173907978106E-2</v>
      </c>
      <c r="S54" s="120">
        <f t="shared" si="5"/>
        <v>1.5517173907978106E-2</v>
      </c>
      <c r="T54" s="121">
        <f t="shared" si="6"/>
        <v>291351367628.68604</v>
      </c>
      <c r="U54" s="121">
        <f t="shared" si="7"/>
        <v>1069550.5973469839</v>
      </c>
      <c r="V54" s="121">
        <f t="shared" si="8"/>
        <v>1143938480285.29</v>
      </c>
      <c r="W54"/>
    </row>
    <row r="55" spans="1:23" x14ac:dyDescent="0.2">
      <c r="A55" s="43">
        <v>43982</v>
      </c>
      <c r="B55" s="44">
        <v>35305256</v>
      </c>
      <c r="C55" s="44"/>
      <c r="D55" s="44">
        <f t="shared" si="2"/>
        <v>35305256</v>
      </c>
      <c r="E55" s="44"/>
      <c r="F55" s="44"/>
      <c r="G55" s="139">
        <f t="shared" si="3"/>
        <v>35305256</v>
      </c>
      <c r="H55" s="44">
        <v>116.6</v>
      </c>
      <c r="I55" s="44">
        <v>18.3</v>
      </c>
      <c r="J55" s="44">
        <v>31</v>
      </c>
      <c r="K55" s="142">
        <v>1</v>
      </c>
      <c r="L55" s="44">
        <v>29553.877070447332</v>
      </c>
      <c r="M55" s="44">
        <v>0</v>
      </c>
      <c r="N55" s="44">
        <v>17021201</v>
      </c>
      <c r="O55" s="139">
        <v>1</v>
      </c>
      <c r="P55" s="44">
        <f t="shared" si="9"/>
        <v>35537878.448865049</v>
      </c>
      <c r="Q55" s="29">
        <f t="shared" si="10"/>
        <v>232622.44886504859</v>
      </c>
      <c r="R55" s="37">
        <f t="shared" si="11"/>
        <v>6.588890018671684E-3</v>
      </c>
      <c r="S55" s="120">
        <f t="shared" si="5"/>
        <v>6.588890018671684E-3</v>
      </c>
      <c r="T55" s="121">
        <f t="shared" si="6"/>
        <v>54113203715.972145</v>
      </c>
      <c r="U55" s="121">
        <f t="shared" si="7"/>
        <v>-307147.28688222915</v>
      </c>
      <c r="V55" s="121">
        <f t="shared" si="8"/>
        <v>94339455839.11438</v>
      </c>
      <c r="W55"/>
    </row>
    <row r="56" spans="1:23" x14ac:dyDescent="0.2">
      <c r="A56" s="43">
        <v>44012</v>
      </c>
      <c r="B56" s="44">
        <v>39004716</v>
      </c>
      <c r="C56" s="44"/>
      <c r="D56" s="44">
        <f t="shared" si="2"/>
        <v>39004716</v>
      </c>
      <c r="E56" s="44"/>
      <c r="F56" s="44"/>
      <c r="G56" s="139">
        <f t="shared" si="3"/>
        <v>39004716</v>
      </c>
      <c r="H56" s="44">
        <v>12.7</v>
      </c>
      <c r="I56" s="44">
        <v>38.1</v>
      </c>
      <c r="J56" s="44">
        <v>30</v>
      </c>
      <c r="K56" s="142">
        <v>0</v>
      </c>
      <c r="L56" s="44">
        <v>29576.538961283193</v>
      </c>
      <c r="M56" s="44">
        <v>0</v>
      </c>
      <c r="N56" s="44">
        <v>24931567</v>
      </c>
      <c r="O56" s="178">
        <v>0.5</v>
      </c>
      <c r="P56" s="44">
        <f t="shared" si="9"/>
        <v>38953268.116464607</v>
      </c>
      <c r="Q56" s="29">
        <f t="shared" si="10"/>
        <v>-51447.883535392582</v>
      </c>
      <c r="R56" s="37">
        <f t="shared" si="11"/>
        <v>-1.3190170013131894E-3</v>
      </c>
      <c r="S56" s="120">
        <f t="shared" si="5"/>
        <v>1.3190170013131894E-3</v>
      </c>
      <c r="T56" s="121">
        <f t="shared" si="6"/>
        <v>2646884720.2713194</v>
      </c>
      <c r="U56" s="121">
        <f t="shared" si="7"/>
        <v>-284070.33240044117</v>
      </c>
      <c r="V56" s="121">
        <f t="shared" si="8"/>
        <v>80695953750.097137</v>
      </c>
      <c r="W56"/>
    </row>
    <row r="57" spans="1:23" x14ac:dyDescent="0.2">
      <c r="A57" s="43">
        <v>44043</v>
      </c>
      <c r="B57" s="44">
        <v>51209111</v>
      </c>
      <c r="C57" s="44"/>
      <c r="D57" s="44">
        <f t="shared" si="2"/>
        <v>51209111</v>
      </c>
      <c r="E57" s="44"/>
      <c r="F57" s="44"/>
      <c r="G57" s="139">
        <f t="shared" si="3"/>
        <v>51209111</v>
      </c>
      <c r="H57" s="44">
        <v>0</v>
      </c>
      <c r="I57" s="44">
        <v>149.80000000000001</v>
      </c>
      <c r="J57" s="44">
        <v>31</v>
      </c>
      <c r="K57" s="142">
        <v>0</v>
      </c>
      <c r="L57" s="44">
        <v>29599.221386482321</v>
      </c>
      <c r="M57" s="44">
        <v>1</v>
      </c>
      <c r="N57" s="44">
        <v>24260284</v>
      </c>
      <c r="O57" s="44">
        <v>0</v>
      </c>
      <c r="P57" s="44">
        <f t="shared" si="9"/>
        <v>50035324.892813332</v>
      </c>
      <c r="Q57" s="29">
        <f t="shared" si="10"/>
        <v>-1173786.1071866676</v>
      </c>
      <c r="R57" s="37">
        <f t="shared" si="11"/>
        <v>-2.292143105524069E-2</v>
      </c>
      <c r="S57" s="120">
        <f t="shared" si="5"/>
        <v>2.292143105524069E-2</v>
      </c>
      <c r="T57" s="121">
        <f t="shared" si="6"/>
        <v>1377773825424.4312</v>
      </c>
      <c r="U57" s="121">
        <f t="shared" si="7"/>
        <v>-1122338.223651275</v>
      </c>
      <c r="V57" s="121">
        <f t="shared" si="8"/>
        <v>1259643088268.6995</v>
      </c>
      <c r="W57"/>
    </row>
    <row r="58" spans="1:23" x14ac:dyDescent="0.2">
      <c r="A58" s="43">
        <v>44074</v>
      </c>
      <c r="B58" s="44">
        <v>45776807</v>
      </c>
      <c r="C58" s="44"/>
      <c r="D58" s="44">
        <f t="shared" si="2"/>
        <v>45776807</v>
      </c>
      <c r="E58" s="44"/>
      <c r="F58" s="44"/>
      <c r="G58" s="139">
        <f t="shared" si="3"/>
        <v>45776807</v>
      </c>
      <c r="H58" s="44">
        <v>0</v>
      </c>
      <c r="I58" s="44">
        <v>115.1</v>
      </c>
      <c r="J58" s="44">
        <v>31</v>
      </c>
      <c r="K58" s="142">
        <v>0</v>
      </c>
      <c r="L58" s="44">
        <v>29621.9243663663</v>
      </c>
      <c r="M58" s="44">
        <v>1</v>
      </c>
      <c r="N58" s="44">
        <v>24766026</v>
      </c>
      <c r="O58" s="44">
        <v>0</v>
      </c>
      <c r="P58" s="44">
        <f t="shared" si="9"/>
        <v>47925119.390441</v>
      </c>
      <c r="Q58" s="29">
        <f t="shared" si="10"/>
        <v>2148312.3904410005</v>
      </c>
      <c r="R58" s="37">
        <f t="shared" si="11"/>
        <v>4.6930149375446838E-2</v>
      </c>
      <c r="S58" s="120">
        <f t="shared" si="5"/>
        <v>4.6930149375446838E-2</v>
      </c>
      <c r="T58" s="121">
        <f t="shared" si="6"/>
        <v>4615246126922.3252</v>
      </c>
      <c r="U58" s="121">
        <f t="shared" si="7"/>
        <v>3322098.4976276681</v>
      </c>
      <c r="V58" s="121">
        <f t="shared" si="8"/>
        <v>11036338427940.01</v>
      </c>
      <c r="W58"/>
    </row>
    <row r="59" spans="1:23" x14ac:dyDescent="0.2">
      <c r="A59" s="43">
        <v>44104</v>
      </c>
      <c r="B59" s="44">
        <v>36368524</v>
      </c>
      <c r="C59" s="44"/>
      <c r="D59" s="44">
        <f t="shared" si="2"/>
        <v>36368524</v>
      </c>
      <c r="E59" s="44"/>
      <c r="F59" s="44"/>
      <c r="G59" s="139">
        <f t="shared" si="3"/>
        <v>36368524</v>
      </c>
      <c r="H59" s="44">
        <v>65.3</v>
      </c>
      <c r="I59" s="44">
        <v>34.799999999999997</v>
      </c>
      <c r="J59" s="44">
        <v>30</v>
      </c>
      <c r="K59" s="142">
        <v>1</v>
      </c>
      <c r="L59" s="44">
        <v>29644.647921282853</v>
      </c>
      <c r="M59" s="44">
        <v>0</v>
      </c>
      <c r="N59" s="44">
        <v>26177718</v>
      </c>
      <c r="O59" s="44">
        <v>0</v>
      </c>
      <c r="P59" s="44">
        <f t="shared" si="9"/>
        <v>37024310.885582604</v>
      </c>
      <c r="Q59" s="29">
        <f t="shared" si="10"/>
        <v>655786.88558260351</v>
      </c>
      <c r="R59" s="37">
        <f t="shared" si="11"/>
        <v>1.8031715710612933E-2</v>
      </c>
      <c r="S59" s="120">
        <f t="shared" si="5"/>
        <v>1.8031715710612933E-2</v>
      </c>
      <c r="T59" s="121">
        <f t="shared" si="6"/>
        <v>430056439302.13074</v>
      </c>
      <c r="U59" s="121">
        <f t="shared" si="7"/>
        <v>-1492525.5048583969</v>
      </c>
      <c r="V59" s="121">
        <f t="shared" si="8"/>
        <v>2227632382652.8125</v>
      </c>
      <c r="W59"/>
    </row>
    <row r="60" spans="1:23" x14ac:dyDescent="0.2">
      <c r="A60" s="43">
        <v>44135</v>
      </c>
      <c r="B60" s="44">
        <v>35464048</v>
      </c>
      <c r="C60" s="44"/>
      <c r="D60" s="44">
        <f t="shared" si="2"/>
        <v>35464048</v>
      </c>
      <c r="E60" s="44"/>
      <c r="F60" s="44"/>
      <c r="G60" s="139">
        <f t="shared" si="3"/>
        <v>35464048</v>
      </c>
      <c r="H60" s="44">
        <v>197.5</v>
      </c>
      <c r="I60" s="44">
        <v>0</v>
      </c>
      <c r="J60" s="44">
        <v>31</v>
      </c>
      <c r="K60" s="142">
        <v>1</v>
      </c>
      <c r="L60" s="44">
        <v>29667.392071605875</v>
      </c>
      <c r="M60" s="44">
        <v>0</v>
      </c>
      <c r="N60" s="44">
        <v>26073606</v>
      </c>
      <c r="O60" s="44">
        <v>0</v>
      </c>
      <c r="P60" s="44">
        <f t="shared" si="9"/>
        <v>37521845.489558391</v>
      </c>
      <c r="Q60" s="29">
        <f t="shared" si="10"/>
        <v>2057797.4895583913</v>
      </c>
      <c r="R60" s="37">
        <f t="shared" si="11"/>
        <v>5.8024890152370404E-2</v>
      </c>
      <c r="S60" s="120">
        <f t="shared" si="5"/>
        <v>5.8024890152370404E-2</v>
      </c>
      <c r="T60" s="121">
        <f t="shared" si="6"/>
        <v>4234530508032.8174</v>
      </c>
      <c r="U60" s="121">
        <f t="shared" si="7"/>
        <v>1402010.6039757878</v>
      </c>
      <c r="V60" s="121">
        <f t="shared" si="8"/>
        <v>1965633733660.5532</v>
      </c>
      <c r="W60"/>
    </row>
    <row r="61" spans="1:23" x14ac:dyDescent="0.2">
      <c r="A61" s="43">
        <v>44165</v>
      </c>
      <c r="B61" s="44">
        <v>36859381</v>
      </c>
      <c r="C61" s="44"/>
      <c r="D61" s="44">
        <f t="shared" si="2"/>
        <v>36859381</v>
      </c>
      <c r="E61" s="44"/>
      <c r="F61" s="44"/>
      <c r="G61" s="139">
        <f t="shared" si="3"/>
        <v>36859381</v>
      </c>
      <c r="H61" s="44">
        <v>248.1</v>
      </c>
      <c r="I61" s="44">
        <v>0</v>
      </c>
      <c r="J61" s="44">
        <v>30</v>
      </c>
      <c r="K61" s="142">
        <v>1</v>
      </c>
      <c r="L61" s="44">
        <v>29690.156837735507</v>
      </c>
      <c r="M61" s="44">
        <v>0</v>
      </c>
      <c r="N61" s="44">
        <v>25421619</v>
      </c>
      <c r="O61" s="44">
        <v>0</v>
      </c>
      <c r="P61" s="44">
        <f t="shared" si="9"/>
        <v>37215926.437273964</v>
      </c>
      <c r="Q61" s="29">
        <f t="shared" si="10"/>
        <v>356545.43727396429</v>
      </c>
      <c r="R61" s="37">
        <f t="shared" si="11"/>
        <v>9.6731260157072174E-3</v>
      </c>
      <c r="S61" s="120">
        <f t="shared" si="5"/>
        <v>9.6731260157072174E-3</v>
      </c>
      <c r="T61" s="121">
        <f t="shared" si="6"/>
        <v>127124648840.8824</v>
      </c>
      <c r="U61" s="121">
        <f t="shared" si="7"/>
        <v>-1701252.052284427</v>
      </c>
      <c r="V61" s="121">
        <f t="shared" si="8"/>
        <v>2894258545401.9746</v>
      </c>
      <c r="W61"/>
    </row>
    <row r="62" spans="1:23" x14ac:dyDescent="0.2">
      <c r="A62" s="43">
        <v>44196</v>
      </c>
      <c r="B62" s="44">
        <v>42748295</v>
      </c>
      <c r="C62" s="44"/>
      <c r="D62" s="44">
        <f t="shared" si="2"/>
        <v>42748295</v>
      </c>
      <c r="E62" s="44"/>
      <c r="F62" s="44"/>
      <c r="G62" s="139">
        <f t="shared" si="3"/>
        <v>42748295</v>
      </c>
      <c r="H62" s="44">
        <v>544.79999999999995</v>
      </c>
      <c r="I62" s="44">
        <v>0</v>
      </c>
      <c r="J62" s="44">
        <v>31</v>
      </c>
      <c r="K62" s="142">
        <v>0</v>
      </c>
      <c r="L62" s="44">
        <v>29712.942240098168</v>
      </c>
      <c r="M62" s="44">
        <v>0</v>
      </c>
      <c r="N62" s="44">
        <v>23882588</v>
      </c>
      <c r="O62" s="44">
        <v>0</v>
      </c>
      <c r="P62" s="44">
        <f t="shared" si="9"/>
        <v>44725466.989368692</v>
      </c>
      <c r="Q62" s="29">
        <f t="shared" si="10"/>
        <v>1977171.989368692</v>
      </c>
      <c r="R62" s="37">
        <f t="shared" si="11"/>
        <v>4.6251481827958102E-2</v>
      </c>
      <c r="S62" s="120">
        <f t="shared" si="5"/>
        <v>4.6251481827958102E-2</v>
      </c>
      <c r="T62" s="121">
        <f t="shared" si="6"/>
        <v>3909209075544.1514</v>
      </c>
      <c r="U62" s="121">
        <f t="shared" si="7"/>
        <v>1620626.5520947278</v>
      </c>
      <c r="V62" s="121">
        <f t="shared" si="8"/>
        <v>2626430421354.4453</v>
      </c>
      <c r="W62"/>
    </row>
    <row r="63" spans="1:23" x14ac:dyDescent="0.2">
      <c r="A63" s="43">
        <v>44227</v>
      </c>
      <c r="B63" s="44">
        <v>43973665.187200002</v>
      </c>
      <c r="C63" s="44"/>
      <c r="D63" s="44">
        <f t="shared" si="2"/>
        <v>43973665.187200002</v>
      </c>
      <c r="E63" s="44"/>
      <c r="F63" s="44"/>
      <c r="G63" s="139">
        <f>D63-E63-F63</f>
        <v>43973665.187200002</v>
      </c>
      <c r="H63" s="44">
        <v>578.29999999999995</v>
      </c>
      <c r="I63" s="44">
        <v>0</v>
      </c>
      <c r="J63" s="44">
        <v>31</v>
      </c>
      <c r="K63" s="142">
        <v>0</v>
      </c>
      <c r="L63" s="44">
        <v>29738.863243927466</v>
      </c>
      <c r="M63" s="44">
        <v>0</v>
      </c>
      <c r="N63" s="44">
        <v>23201982</v>
      </c>
      <c r="O63" s="44">
        <v>0</v>
      </c>
      <c r="P63" s="44">
        <f t="shared" si="9"/>
        <v>45068234.954055585</v>
      </c>
      <c r="Q63" s="29">
        <f t="shared" si="10"/>
        <v>1094569.7668555826</v>
      </c>
      <c r="R63" s="37">
        <f t="shared" si="11"/>
        <v>2.4891483623116172E-2</v>
      </c>
      <c r="S63" s="120">
        <f t="shared" si="5"/>
        <v>2.4891483623116172E-2</v>
      </c>
      <c r="T63" s="121">
        <f t="shared" si="6"/>
        <v>1198082974514.2844</v>
      </c>
      <c r="U63" s="121">
        <f t="shared" si="7"/>
        <v>-882602.22251310945</v>
      </c>
      <c r="V63" s="121">
        <f t="shared" si="8"/>
        <v>778986683185.08032</v>
      </c>
      <c r="W63"/>
    </row>
    <row r="64" spans="1:23" x14ac:dyDescent="0.2">
      <c r="A64" s="43">
        <v>44255</v>
      </c>
      <c r="B64" s="44">
        <v>40785728.859999999</v>
      </c>
      <c r="C64" s="44"/>
      <c r="D64" s="44">
        <f t="shared" si="2"/>
        <v>40785728.859999999</v>
      </c>
      <c r="E64" s="44"/>
      <c r="F64" s="44"/>
      <c r="G64" s="139">
        <f t="shared" ref="G64:G79" si="12">D64-E64-F64</f>
        <v>40785728.859999999</v>
      </c>
      <c r="H64" s="44">
        <v>587.4</v>
      </c>
      <c r="I64" s="44">
        <v>0</v>
      </c>
      <c r="J64" s="44">
        <v>28</v>
      </c>
      <c r="K64" s="142">
        <v>0</v>
      </c>
      <c r="L64" s="44">
        <v>29764.808153510119</v>
      </c>
      <c r="M64" s="44">
        <v>0</v>
      </c>
      <c r="N64" s="44">
        <v>22541306</v>
      </c>
      <c r="O64" s="44">
        <v>0</v>
      </c>
      <c r="P64" s="44">
        <f t="shared" si="9"/>
        <v>42396836.278543755</v>
      </c>
      <c r="Q64" s="29">
        <f t="shared" si="10"/>
        <v>1611107.418543756</v>
      </c>
      <c r="R64" s="37">
        <f t="shared" si="11"/>
        <v>3.9501743957402358E-2</v>
      </c>
      <c r="S64" s="120">
        <f t="shared" si="5"/>
        <v>3.9501743957402358E-2</v>
      </c>
      <c r="T64" s="121">
        <f t="shared" si="6"/>
        <v>2595667114086.7256</v>
      </c>
      <c r="U64" s="121">
        <f t="shared" si="7"/>
        <v>516537.65168817341</v>
      </c>
      <c r="V64" s="121">
        <f t="shared" si="8"/>
        <v>266811145611.53275</v>
      </c>
      <c r="W64"/>
    </row>
    <row r="65" spans="1:23" x14ac:dyDescent="0.2">
      <c r="A65" s="43">
        <v>44286</v>
      </c>
      <c r="B65" s="44">
        <v>40511516.95000001</v>
      </c>
      <c r="C65" s="44"/>
      <c r="D65" s="44">
        <f t="shared" si="2"/>
        <v>40511516.95000001</v>
      </c>
      <c r="E65" s="44"/>
      <c r="F65" s="44"/>
      <c r="G65" s="139">
        <f t="shared" si="12"/>
        <v>40511516.95000001</v>
      </c>
      <c r="H65" s="44">
        <v>434.8</v>
      </c>
      <c r="I65" s="44">
        <v>0</v>
      </c>
      <c r="J65" s="44">
        <v>31</v>
      </c>
      <c r="K65" s="142">
        <v>1</v>
      </c>
      <c r="L65" s="44">
        <v>29790.776993977288</v>
      </c>
      <c r="M65" s="44">
        <v>0</v>
      </c>
      <c r="N65" s="44">
        <v>28036090</v>
      </c>
      <c r="O65" s="44">
        <v>0</v>
      </c>
      <c r="P65" s="44">
        <f t="shared" si="9"/>
        <v>41361757.640718721</v>
      </c>
      <c r="Q65" s="29">
        <f t="shared" si="10"/>
        <v>850240.69071871042</v>
      </c>
      <c r="R65" s="37">
        <f t="shared" si="11"/>
        <v>2.0987629067756006E-2</v>
      </c>
      <c r="S65" s="120">
        <f t="shared" si="5"/>
        <v>2.0987629067756006E-2</v>
      </c>
      <c r="T65" s="121">
        <f t="shared" si="6"/>
        <v>722909232153.82983</v>
      </c>
      <c r="U65" s="121">
        <f t="shared" si="7"/>
        <v>-760866.72782504559</v>
      </c>
      <c r="V65" s="121">
        <f t="shared" si="8"/>
        <v>578918177511.19202</v>
      </c>
      <c r="W65"/>
    </row>
    <row r="66" spans="1:23" x14ac:dyDescent="0.2">
      <c r="A66" s="43">
        <v>44316</v>
      </c>
      <c r="B66" s="44">
        <v>34865218.751199998</v>
      </c>
      <c r="C66" s="44"/>
      <c r="D66" s="44">
        <f t="shared" si="2"/>
        <v>34865218.751199998</v>
      </c>
      <c r="E66" s="44"/>
      <c r="F66" s="44"/>
      <c r="G66" s="139">
        <f t="shared" si="12"/>
        <v>34865218.751199998</v>
      </c>
      <c r="H66" s="44">
        <v>307.3</v>
      </c>
      <c r="I66" s="44">
        <v>0</v>
      </c>
      <c r="J66" s="44">
        <v>30</v>
      </c>
      <c r="K66" s="142">
        <v>1</v>
      </c>
      <c r="L66" s="44">
        <v>29816.769790495076</v>
      </c>
      <c r="M66" s="44">
        <v>0</v>
      </c>
      <c r="N66" s="44">
        <v>24252177</v>
      </c>
      <c r="O66" s="44">
        <v>0</v>
      </c>
      <c r="P66" s="44">
        <f t="shared" si="9"/>
        <v>37889259.987772346</v>
      </c>
      <c r="Q66" s="29">
        <f t="shared" si="10"/>
        <v>3024041.2365723476</v>
      </c>
      <c r="R66" s="37">
        <f t="shared" si="11"/>
        <v>8.6735186093397615E-2</v>
      </c>
      <c r="S66" s="120">
        <f t="shared" si="5"/>
        <v>8.6735186093397615E-2</v>
      </c>
      <c r="T66" s="121">
        <f t="shared" si="6"/>
        <v>9144825400490.0137</v>
      </c>
      <c r="U66" s="121">
        <f t="shared" si="7"/>
        <v>2173800.5458536372</v>
      </c>
      <c r="V66" s="121">
        <f t="shared" si="8"/>
        <v>4725408813153.5713</v>
      </c>
      <c r="W66"/>
    </row>
    <row r="67" spans="1:23" x14ac:dyDescent="0.2">
      <c r="A67" s="43">
        <v>44347</v>
      </c>
      <c r="B67" s="44">
        <v>35720582.787200004</v>
      </c>
      <c r="C67" s="44"/>
      <c r="D67" s="44">
        <f t="shared" si="2"/>
        <v>35720582.787200004</v>
      </c>
      <c r="E67" s="44"/>
      <c r="F67" s="44"/>
      <c r="G67" s="139">
        <f t="shared" si="12"/>
        <v>35720582.787200004</v>
      </c>
      <c r="H67" s="44">
        <v>152.4</v>
      </c>
      <c r="I67" s="44">
        <v>14.5</v>
      </c>
      <c r="J67" s="44">
        <v>31</v>
      </c>
      <c r="K67" s="142">
        <v>1</v>
      </c>
      <c r="L67" s="44">
        <v>29842.786568264626</v>
      </c>
      <c r="M67" s="44">
        <v>0</v>
      </c>
      <c r="N67" s="44">
        <v>24670787</v>
      </c>
      <c r="O67" s="44">
        <v>0</v>
      </c>
      <c r="P67" s="44">
        <f t="shared" ref="P67:P98" si="13">$Y$30+$Y$31*H67+$Y$32*I67+$Y$33*J67+$Y$34*K67+$Y$35*L67+$Y$36*M67+$Y$37*N67</f>
        <v>37653904.057676747</v>
      </c>
      <c r="Q67" s="29">
        <f t="shared" ref="Q67:Q98" si="14">P67-G67</f>
        <v>1933321.2704767436</v>
      </c>
      <c r="R67" s="37">
        <f t="shared" ref="R67:R98" si="15">Q67/G67</f>
        <v>5.4123452632176078E-2</v>
      </c>
      <c r="S67" s="120">
        <f t="shared" si="5"/>
        <v>5.4123452632176078E-2</v>
      </c>
      <c r="T67" s="121">
        <f t="shared" si="6"/>
        <v>3737731134877.8101</v>
      </c>
      <c r="U67" s="121">
        <f t="shared" si="7"/>
        <v>-1090719.966095604</v>
      </c>
      <c r="V67" s="121">
        <f t="shared" si="8"/>
        <v>1189670044439.5955</v>
      </c>
      <c r="W67"/>
    </row>
    <row r="68" spans="1:23" x14ac:dyDescent="0.2">
      <c r="A68" s="43">
        <v>44377</v>
      </c>
      <c r="B68" s="44">
        <v>40624792.780000001</v>
      </c>
      <c r="C68" s="44"/>
      <c r="D68" s="44">
        <f t="shared" ref="D68:D122" si="16">B68+C68</f>
        <v>40624792.780000001</v>
      </c>
      <c r="E68" s="44"/>
      <c r="F68" s="44"/>
      <c r="G68" s="139">
        <f t="shared" si="12"/>
        <v>40624792.780000001</v>
      </c>
      <c r="H68" s="44">
        <v>9.1</v>
      </c>
      <c r="I68" s="44">
        <v>45.8</v>
      </c>
      <c r="J68" s="44">
        <v>30</v>
      </c>
      <c r="K68" s="142">
        <v>0</v>
      </c>
      <c r="L68" s="44">
        <v>29868.827352522167</v>
      </c>
      <c r="M68" s="44">
        <v>0</v>
      </c>
      <c r="N68" s="44">
        <v>27031100</v>
      </c>
      <c r="O68" s="44">
        <v>0</v>
      </c>
      <c r="P68" s="44">
        <f t="shared" si="13"/>
        <v>40068537.474178657</v>
      </c>
      <c r="Q68" s="29">
        <f t="shared" si="14"/>
        <v>-556255.30582134426</v>
      </c>
      <c r="R68" s="37">
        <f t="shared" si="15"/>
        <v>-1.3692508139886301E-2</v>
      </c>
      <c r="S68" s="120">
        <f t="shared" ref="S68:S121" si="17">ABS(R68)</f>
        <v>1.3692508139886301E-2</v>
      </c>
      <c r="T68" s="121">
        <f t="shared" ref="T68:T108" si="18">Q68*Q68</f>
        <v>309419965254.39722</v>
      </c>
      <c r="U68" s="121">
        <f t="shared" si="7"/>
        <v>-2489576.5762980878</v>
      </c>
      <c r="V68" s="121">
        <f t="shared" si="8"/>
        <v>6197991529252.1084</v>
      </c>
      <c r="W68"/>
    </row>
    <row r="69" spans="1:23" x14ac:dyDescent="0.2">
      <c r="A69" s="43">
        <v>44408</v>
      </c>
      <c r="B69" s="44">
        <v>44400730.75</v>
      </c>
      <c r="C69" s="44"/>
      <c r="D69" s="44">
        <f t="shared" si="16"/>
        <v>44400730.75</v>
      </c>
      <c r="E69" s="44"/>
      <c r="F69" s="44"/>
      <c r="G69" s="139">
        <f t="shared" si="12"/>
        <v>44400730.75</v>
      </c>
      <c r="H69" s="44">
        <v>4</v>
      </c>
      <c r="I69" s="44">
        <v>77.5</v>
      </c>
      <c r="J69" s="44">
        <v>31</v>
      </c>
      <c r="K69" s="142">
        <v>0</v>
      </c>
      <c r="L69" s="44">
        <v>29894.892168539085</v>
      </c>
      <c r="M69" s="44">
        <v>1</v>
      </c>
      <c r="N69" s="44">
        <v>24544535</v>
      </c>
      <c r="O69" s="44">
        <v>0</v>
      </c>
      <c r="P69" s="44">
        <f t="shared" si="13"/>
        <v>45715166.666998006</v>
      </c>
      <c r="Q69" s="29">
        <f t="shared" si="14"/>
        <v>1314435.9169980064</v>
      </c>
      <c r="R69" s="37">
        <f t="shared" si="15"/>
        <v>2.9603925313729355E-2</v>
      </c>
      <c r="S69" s="120">
        <f t="shared" si="17"/>
        <v>2.9603925313729355E-2</v>
      </c>
      <c r="T69" s="121">
        <f t="shared" si="18"/>
        <v>1727741779894.3899</v>
      </c>
      <c r="U69" s="121">
        <f t="shared" ref="U69:U109" si="19">Q69-Q68</f>
        <v>1870691.2228193507</v>
      </c>
      <c r="V69" s="121">
        <f t="shared" ref="V69:V109" si="20">U69*U69</f>
        <v>3499485651133.3574</v>
      </c>
      <c r="W69"/>
    </row>
    <row r="70" spans="1:23" x14ac:dyDescent="0.2">
      <c r="A70" s="43">
        <v>44439</v>
      </c>
      <c r="B70" s="44">
        <v>52694375.509999998</v>
      </c>
      <c r="C70" s="44"/>
      <c r="D70" s="44">
        <f t="shared" si="16"/>
        <v>52694375.509999998</v>
      </c>
      <c r="E70" s="44"/>
      <c r="F70" s="44"/>
      <c r="G70" s="139">
        <f t="shared" si="12"/>
        <v>52694375.509999998</v>
      </c>
      <c r="H70" s="44">
        <v>0</v>
      </c>
      <c r="I70" s="44">
        <v>182.6</v>
      </c>
      <c r="J70" s="44">
        <v>31</v>
      </c>
      <c r="K70" s="142">
        <v>0</v>
      </c>
      <c r="L70" s="44">
        <v>29920.981041622021</v>
      </c>
      <c r="M70" s="44">
        <v>1</v>
      </c>
      <c r="N70" s="44">
        <v>26790218</v>
      </c>
      <c r="O70" s="44">
        <v>0</v>
      </c>
      <c r="P70" s="44">
        <f t="shared" si="13"/>
        <v>52932799.285336778</v>
      </c>
      <c r="Q70" s="29">
        <f t="shared" si="14"/>
        <v>238423.77533677965</v>
      </c>
      <c r="R70" s="37">
        <f t="shared" si="15"/>
        <v>4.5246532106929162E-3</v>
      </c>
      <c r="S70" s="120">
        <f t="shared" si="17"/>
        <v>4.5246532106929162E-3</v>
      </c>
      <c r="T70" s="121">
        <f t="shared" si="18"/>
        <v>56845896645.843178</v>
      </c>
      <c r="U70" s="121">
        <f t="shared" si="19"/>
        <v>-1076012.1416612267</v>
      </c>
      <c r="V70" s="121">
        <f t="shared" si="20"/>
        <v>1157802129002.3799</v>
      </c>
      <c r="W70"/>
    </row>
    <row r="71" spans="1:23" x14ac:dyDescent="0.2">
      <c r="A71" s="43">
        <v>44469</v>
      </c>
      <c r="B71" s="44">
        <v>39413607.979999989</v>
      </c>
      <c r="C71" s="44"/>
      <c r="D71" s="44">
        <f t="shared" si="16"/>
        <v>39413607.979999989</v>
      </c>
      <c r="E71" s="44"/>
      <c r="F71" s="44"/>
      <c r="G71" s="139">
        <f t="shared" si="12"/>
        <v>39413607.979999989</v>
      </c>
      <c r="H71" s="44">
        <v>20.399999999999999</v>
      </c>
      <c r="I71" s="44">
        <v>50.1</v>
      </c>
      <c r="J71" s="44">
        <v>30</v>
      </c>
      <c r="K71" s="142">
        <v>1</v>
      </c>
      <c r="L71" s="44">
        <v>29947.093997112901</v>
      </c>
      <c r="M71" s="44">
        <v>0</v>
      </c>
      <c r="N71" s="44">
        <v>26666952</v>
      </c>
      <c r="O71" s="44">
        <v>0</v>
      </c>
      <c r="P71" s="44">
        <f t="shared" si="13"/>
        <v>37712135.399854101</v>
      </c>
      <c r="Q71" s="29">
        <f t="shared" si="14"/>
        <v>-1701472.580145888</v>
      </c>
      <c r="R71" s="37">
        <f t="shared" si="15"/>
        <v>-4.3169673301903293E-2</v>
      </c>
      <c r="S71" s="120">
        <f t="shared" si="17"/>
        <v>4.3169673301903293E-2</v>
      </c>
      <c r="T71" s="121">
        <f t="shared" si="18"/>
        <v>2895008940988.3052</v>
      </c>
      <c r="U71" s="121">
        <f t="shared" si="19"/>
        <v>-1939896.3554826677</v>
      </c>
      <c r="V71" s="121">
        <f t="shared" si="20"/>
        <v>3763197870014.9365</v>
      </c>
      <c r="W71"/>
    </row>
    <row r="72" spans="1:23" x14ac:dyDescent="0.2">
      <c r="A72" s="43">
        <v>44500</v>
      </c>
      <c r="B72" s="44">
        <v>37470498.5</v>
      </c>
      <c r="C72" s="44"/>
      <c r="D72" s="44">
        <f t="shared" si="16"/>
        <v>37470498.5</v>
      </c>
      <c r="E72" s="44"/>
      <c r="F72" s="44"/>
      <c r="G72" s="139">
        <f t="shared" si="12"/>
        <v>37470498.5</v>
      </c>
      <c r="H72" s="44">
        <v>60.8</v>
      </c>
      <c r="I72" s="44">
        <v>10.6</v>
      </c>
      <c r="J72" s="44">
        <v>31</v>
      </c>
      <c r="K72" s="142">
        <v>1</v>
      </c>
      <c r="L72" s="44">
        <v>29973.231060389044</v>
      </c>
      <c r="M72" s="44">
        <v>0</v>
      </c>
      <c r="N72" s="44">
        <v>27970892</v>
      </c>
      <c r="O72" s="44">
        <v>0</v>
      </c>
      <c r="P72" s="44">
        <f t="shared" si="13"/>
        <v>36925075.390307464</v>
      </c>
      <c r="Q72" s="29">
        <f t="shared" si="14"/>
        <v>-545423.10969253629</v>
      </c>
      <c r="R72" s="37">
        <f t="shared" si="15"/>
        <v>-1.455606761389994E-2</v>
      </c>
      <c r="S72" s="120">
        <f t="shared" si="17"/>
        <v>1.455606761389994E-2</v>
      </c>
      <c r="T72" s="121">
        <f t="shared" si="18"/>
        <v>297486368586.67645</v>
      </c>
      <c r="U72" s="121">
        <f t="shared" si="19"/>
        <v>1156049.4704533517</v>
      </c>
      <c r="V72" s="121">
        <f t="shared" si="20"/>
        <v>1336450378135.4749</v>
      </c>
      <c r="W72"/>
    </row>
    <row r="73" spans="1:23" x14ac:dyDescent="0.2">
      <c r="A73" s="43">
        <v>44530</v>
      </c>
      <c r="B73" s="44">
        <v>39320668.089999996</v>
      </c>
      <c r="C73" s="44"/>
      <c r="D73" s="44">
        <f t="shared" si="16"/>
        <v>39320668.089999996</v>
      </c>
      <c r="E73" s="44"/>
      <c r="F73" s="44"/>
      <c r="G73" s="139">
        <f t="shared" si="12"/>
        <v>39320668.089999996</v>
      </c>
      <c r="H73" s="44">
        <v>337.4</v>
      </c>
      <c r="I73" s="44">
        <v>0</v>
      </c>
      <c r="J73" s="44">
        <v>30</v>
      </c>
      <c r="K73" s="142">
        <v>1</v>
      </c>
      <c r="L73" s="44">
        <v>29999.392256863204</v>
      </c>
      <c r="M73" s="44">
        <v>0</v>
      </c>
      <c r="N73" s="44">
        <v>28892274</v>
      </c>
      <c r="O73" s="44">
        <v>0</v>
      </c>
      <c r="P73" s="44">
        <f t="shared" si="13"/>
        <v>39444356.960140936</v>
      </c>
      <c r="Q73" s="29">
        <f t="shared" si="14"/>
        <v>123688.87014093995</v>
      </c>
      <c r="R73" s="37">
        <f t="shared" si="15"/>
        <v>3.145645182269841E-3</v>
      </c>
      <c r="S73" s="120">
        <f t="shared" si="17"/>
        <v>3.145645182269841E-3</v>
      </c>
      <c r="T73" s="121">
        <f t="shared" si="18"/>
        <v>15298936596.742306</v>
      </c>
      <c r="U73" s="121">
        <f t="shared" si="19"/>
        <v>669111.97983347625</v>
      </c>
      <c r="V73" s="121">
        <f t="shared" si="20"/>
        <v>447710841556.67432</v>
      </c>
      <c r="W73"/>
    </row>
    <row r="74" spans="1:23" x14ac:dyDescent="0.2">
      <c r="A74" s="43">
        <v>44561</v>
      </c>
      <c r="B74" s="44">
        <v>42199742.700000003</v>
      </c>
      <c r="C74" s="44"/>
      <c r="D74" s="44">
        <f t="shared" si="16"/>
        <v>42199742.700000003</v>
      </c>
      <c r="E74" s="44"/>
      <c r="F74" s="44"/>
      <c r="G74" s="139">
        <f t="shared" si="12"/>
        <v>42199742.700000003</v>
      </c>
      <c r="H74" s="44">
        <v>376.6</v>
      </c>
      <c r="I74" s="44">
        <v>0</v>
      </c>
      <c r="J74" s="44">
        <v>31</v>
      </c>
      <c r="K74" s="142">
        <v>0</v>
      </c>
      <c r="L74" s="44">
        <v>30025.577611983674</v>
      </c>
      <c r="M74" s="44">
        <v>0</v>
      </c>
      <c r="N74" s="44">
        <v>27630968</v>
      </c>
      <c r="O74" s="44">
        <v>0</v>
      </c>
      <c r="P74" s="44">
        <f t="shared" si="13"/>
        <v>43406844.405628115</v>
      </c>
      <c r="Q74" s="29">
        <f t="shared" si="14"/>
        <v>1207101.705628112</v>
      </c>
      <c r="R74" s="37">
        <f t="shared" si="15"/>
        <v>2.8604480226561001E-2</v>
      </c>
      <c r="S74" s="120">
        <f t="shared" si="17"/>
        <v>2.8604480226561001E-2</v>
      </c>
      <c r="T74" s="121">
        <f t="shared" si="18"/>
        <v>1457094527730.2971</v>
      </c>
      <c r="U74" s="121">
        <f t="shared" si="19"/>
        <v>1083412.835487172</v>
      </c>
      <c r="V74" s="121">
        <f t="shared" si="20"/>
        <v>1173783372098.354</v>
      </c>
      <c r="W74"/>
    </row>
    <row r="75" spans="1:23" x14ac:dyDescent="0.2">
      <c r="A75" s="43">
        <v>44592</v>
      </c>
      <c r="B75" s="44">
        <v>48172108.559999995</v>
      </c>
      <c r="C75" s="44"/>
      <c r="D75" s="44">
        <f t="shared" si="16"/>
        <v>48172108.559999995</v>
      </c>
      <c r="E75" s="44"/>
      <c r="F75" s="44"/>
      <c r="G75" s="139">
        <f t="shared" si="12"/>
        <v>48172108.559999995</v>
      </c>
      <c r="H75" s="44">
        <v>318.3</v>
      </c>
      <c r="I75" s="44">
        <v>0</v>
      </c>
      <c r="J75" s="44">
        <v>31</v>
      </c>
      <c r="K75" s="142">
        <v>0</v>
      </c>
      <c r="L75" s="44">
        <v>30058.277057116862</v>
      </c>
      <c r="M75" s="44">
        <v>0</v>
      </c>
      <c r="N75" s="44">
        <v>25270848</v>
      </c>
      <c r="O75" s="44">
        <v>0</v>
      </c>
      <c r="P75" s="44">
        <f t="shared" si="13"/>
        <v>42107253.584315613</v>
      </c>
      <c r="Q75" s="29">
        <f t="shared" si="14"/>
        <v>-6064854.975684382</v>
      </c>
      <c r="R75" s="37">
        <f t="shared" si="15"/>
        <v>-0.12589971992050961</v>
      </c>
      <c r="S75" s="120">
        <f t="shared" si="17"/>
        <v>0.12589971992050961</v>
      </c>
      <c r="T75" s="121">
        <f t="shared" si="18"/>
        <v>36782465876083.609</v>
      </c>
      <c r="U75" s="121">
        <f t="shared" si="19"/>
        <v>-7271956.681312494</v>
      </c>
      <c r="V75" s="121">
        <f t="shared" si="20"/>
        <v>52881353974885.422</v>
      </c>
      <c r="W75"/>
    </row>
    <row r="76" spans="1:23" x14ac:dyDescent="0.2">
      <c r="A76" s="43">
        <v>44620</v>
      </c>
      <c r="B76" s="44">
        <v>42676055.632399999</v>
      </c>
      <c r="C76" s="44"/>
      <c r="D76" s="44">
        <f t="shared" si="16"/>
        <v>42676055.632399999</v>
      </c>
      <c r="E76" s="44"/>
      <c r="F76" s="44"/>
      <c r="G76" s="139">
        <f t="shared" si="12"/>
        <v>42676055.632399999</v>
      </c>
      <c r="H76" s="44">
        <v>458.7</v>
      </c>
      <c r="I76" s="44">
        <v>0</v>
      </c>
      <c r="J76" s="44">
        <v>28</v>
      </c>
      <c r="K76" s="142">
        <v>0</v>
      </c>
      <c r="L76" s="44">
        <v>30091.013157912788</v>
      </c>
      <c r="M76" s="44">
        <v>0</v>
      </c>
      <c r="N76" s="44">
        <v>27257211</v>
      </c>
      <c r="O76" s="44">
        <v>0</v>
      </c>
      <c r="P76" s="44">
        <f t="shared" si="13"/>
        <v>41849816.426498018</v>
      </c>
      <c r="Q76" s="29">
        <f t="shared" si="14"/>
        <v>-826239.2059019804</v>
      </c>
      <c r="R76" s="37">
        <f t="shared" si="15"/>
        <v>-1.9360720986470292E-2</v>
      </c>
      <c r="S76" s="120">
        <f t="shared" si="17"/>
        <v>1.9360720986470292E-2</v>
      </c>
      <c r="T76" s="121">
        <f t="shared" si="18"/>
        <v>682671225369.53516</v>
      </c>
      <c r="U76" s="121">
        <f t="shared" si="19"/>
        <v>5238615.7697824016</v>
      </c>
      <c r="V76" s="121">
        <f t="shared" si="20"/>
        <v>27443095183412.863</v>
      </c>
      <c r="W76"/>
    </row>
    <row r="77" spans="1:23" x14ac:dyDescent="0.2">
      <c r="A77" s="43">
        <v>44651</v>
      </c>
      <c r="B77" s="44">
        <v>43515603.909999996</v>
      </c>
      <c r="C77" s="44"/>
      <c r="D77" s="44">
        <f t="shared" si="16"/>
        <v>43515603.909999996</v>
      </c>
      <c r="E77" s="44"/>
      <c r="F77" s="44"/>
      <c r="G77" s="139">
        <f t="shared" si="12"/>
        <v>43515603.909999996</v>
      </c>
      <c r="H77" s="44">
        <v>284.2</v>
      </c>
      <c r="I77" s="44">
        <v>0</v>
      </c>
      <c r="J77" s="44">
        <v>31</v>
      </c>
      <c r="K77" s="142">
        <v>1</v>
      </c>
      <c r="L77" s="44">
        <v>30123.785954524665</v>
      </c>
      <c r="M77" s="44">
        <v>0</v>
      </c>
      <c r="N77" s="44">
        <v>34138042</v>
      </c>
      <c r="O77" s="44">
        <v>0</v>
      </c>
      <c r="P77" s="44">
        <f t="shared" si="13"/>
        <v>40810554.488607861</v>
      </c>
      <c r="Q77" s="29">
        <f t="shared" si="14"/>
        <v>-2705049.4213921353</v>
      </c>
      <c r="R77" s="37">
        <f t="shared" si="15"/>
        <v>-6.2162745735685587E-2</v>
      </c>
      <c r="S77" s="120">
        <f t="shared" si="17"/>
        <v>6.2162745735685587E-2</v>
      </c>
      <c r="T77" s="121">
        <f t="shared" si="18"/>
        <v>7317292372173.9258</v>
      </c>
      <c r="U77" s="121">
        <f t="shared" si="19"/>
        <v>-1878810.2154901549</v>
      </c>
      <c r="V77" s="121">
        <f t="shared" si="20"/>
        <v>3529927825830.1626</v>
      </c>
      <c r="W77"/>
    </row>
    <row r="78" spans="1:23" x14ac:dyDescent="0.2">
      <c r="A78" s="43">
        <v>44681</v>
      </c>
      <c r="B78" s="44">
        <v>37355907.443600006</v>
      </c>
      <c r="C78" s="44"/>
      <c r="D78" s="44">
        <f t="shared" si="16"/>
        <v>37355907.443600006</v>
      </c>
      <c r="E78" s="44"/>
      <c r="F78" s="44"/>
      <c r="G78" s="139">
        <f t="shared" si="12"/>
        <v>37355907.443600006</v>
      </c>
      <c r="H78" s="44">
        <v>224</v>
      </c>
      <c r="I78" s="44">
        <v>0</v>
      </c>
      <c r="J78" s="44">
        <v>30</v>
      </c>
      <c r="K78" s="142">
        <v>1</v>
      </c>
      <c r="L78" s="44">
        <v>30156.595487150847</v>
      </c>
      <c r="M78" s="44">
        <v>0</v>
      </c>
      <c r="N78" s="44">
        <v>30789756</v>
      </c>
      <c r="O78" s="44">
        <v>0</v>
      </c>
      <c r="P78" s="44">
        <f t="shared" si="13"/>
        <v>38380027.683543369</v>
      </c>
      <c r="Q78" s="29">
        <f t="shared" si="14"/>
        <v>1024120.2399433628</v>
      </c>
      <c r="R78" s="37">
        <f t="shared" si="15"/>
        <v>2.7415215156788273E-2</v>
      </c>
      <c r="S78" s="120">
        <f t="shared" si="17"/>
        <v>2.7415215156788273E-2</v>
      </c>
      <c r="T78" s="121">
        <f t="shared" si="18"/>
        <v>1048822265861.6509</v>
      </c>
      <c r="U78" s="121">
        <f t="shared" si="19"/>
        <v>3729169.6613354981</v>
      </c>
      <c r="V78" s="121">
        <f t="shared" si="20"/>
        <v>13906706363025.113</v>
      </c>
      <c r="W78"/>
    </row>
    <row r="79" spans="1:23" x14ac:dyDescent="0.2">
      <c r="A79" s="43">
        <v>44712</v>
      </c>
      <c r="B79" s="44">
        <v>37326855.189999998</v>
      </c>
      <c r="C79" s="44"/>
      <c r="D79" s="44">
        <f t="shared" si="16"/>
        <v>37326855.189999998</v>
      </c>
      <c r="E79" s="44"/>
      <c r="F79" s="44"/>
      <c r="G79" s="139">
        <f t="shared" si="12"/>
        <v>37326855.189999998</v>
      </c>
      <c r="H79" s="44">
        <v>68.900000000000006</v>
      </c>
      <c r="I79" s="44">
        <v>11.8</v>
      </c>
      <c r="J79" s="44">
        <v>31</v>
      </c>
      <c r="K79" s="142">
        <v>1</v>
      </c>
      <c r="L79" s="44">
        <v>30189.441796034902</v>
      </c>
      <c r="M79" s="44">
        <v>0</v>
      </c>
      <c r="N79" s="44">
        <v>31642434</v>
      </c>
      <c r="O79" s="44">
        <v>0</v>
      </c>
      <c r="P79" s="44">
        <f t="shared" si="13"/>
        <v>38066236.589300938</v>
      </c>
      <c r="Q79" s="29">
        <f t="shared" si="14"/>
        <v>739381.39930094033</v>
      </c>
      <c r="R79" s="37">
        <f t="shared" si="15"/>
        <v>1.9808296078985602E-2</v>
      </c>
      <c r="S79" s="120">
        <f t="shared" si="17"/>
        <v>1.9808296078985602E-2</v>
      </c>
      <c r="T79" s="121">
        <f t="shared" si="18"/>
        <v>546684853632.21655</v>
      </c>
      <c r="U79" s="121">
        <f t="shared" si="19"/>
        <v>-284738.84064242244</v>
      </c>
      <c r="V79" s="121">
        <f t="shared" si="20"/>
        <v>81076207370.390839</v>
      </c>
      <c r="W79"/>
    </row>
    <row r="80" spans="1:23" x14ac:dyDescent="0.2">
      <c r="A80" s="43">
        <v>44742</v>
      </c>
      <c r="B80" s="44">
        <v>40689849.420000002</v>
      </c>
      <c r="C80" s="44"/>
      <c r="D80" s="44">
        <f t="shared" si="16"/>
        <v>40689849.420000002</v>
      </c>
      <c r="E80" s="44"/>
      <c r="F80" s="44"/>
      <c r="G80" s="139">
        <f t="shared" ref="G80:G122" si="21">D80-E80-F80</f>
        <v>40689849.420000002</v>
      </c>
      <c r="H80" s="44">
        <v>12.7</v>
      </c>
      <c r="I80" s="44">
        <v>21.4</v>
      </c>
      <c r="J80" s="44">
        <v>30</v>
      </c>
      <c r="K80" s="142">
        <v>0</v>
      </c>
      <c r="L80" s="44">
        <v>30222.324921465639</v>
      </c>
      <c r="M80" s="44">
        <v>0</v>
      </c>
      <c r="N80" s="44">
        <v>33600843</v>
      </c>
      <c r="O80" s="44">
        <v>0</v>
      </c>
      <c r="P80" s="44">
        <f t="shared" si="13"/>
        <v>40222318.975126997</v>
      </c>
      <c r="Q80" s="29">
        <f t="shared" si="14"/>
        <v>-467530.44487300515</v>
      </c>
      <c r="R80" s="37">
        <f t="shared" si="15"/>
        <v>-1.149010014874135E-2</v>
      </c>
      <c r="S80" s="120">
        <f t="shared" si="17"/>
        <v>1.149010014874135E-2</v>
      </c>
      <c r="T80" s="121">
        <f t="shared" si="18"/>
        <v>218584716883.15012</v>
      </c>
      <c r="U80" s="121">
        <f t="shared" si="19"/>
        <v>-1206911.8441739455</v>
      </c>
      <c r="V80" s="121">
        <f t="shared" si="20"/>
        <v>1456636199607.354</v>
      </c>
      <c r="W80"/>
    </row>
    <row r="81" spans="1:23" x14ac:dyDescent="0.2">
      <c r="A81" s="43">
        <v>44773</v>
      </c>
      <c r="B81" s="44">
        <v>48663334.230000004</v>
      </c>
      <c r="C81" s="44"/>
      <c r="D81" s="44">
        <f t="shared" si="16"/>
        <v>48663334.230000004</v>
      </c>
      <c r="E81" s="44"/>
      <c r="F81" s="44"/>
      <c r="G81" s="139">
        <f t="shared" si="21"/>
        <v>48663334.230000004</v>
      </c>
      <c r="H81" s="44">
        <v>0</v>
      </c>
      <c r="I81" s="44">
        <v>97.7</v>
      </c>
      <c r="J81" s="44">
        <v>31</v>
      </c>
      <c r="K81" s="142">
        <v>0</v>
      </c>
      <c r="L81" s="44">
        <v>30255.244903777173</v>
      </c>
      <c r="M81" s="44">
        <v>1</v>
      </c>
      <c r="N81" s="44">
        <v>29061042</v>
      </c>
      <c r="O81" s="44">
        <v>0</v>
      </c>
      <c r="P81" s="44">
        <f t="shared" si="13"/>
        <v>48200262.450959399</v>
      </c>
      <c r="Q81" s="29">
        <f t="shared" si="14"/>
        <v>-463071.77904060483</v>
      </c>
      <c r="R81" s="37">
        <f t="shared" si="15"/>
        <v>-9.5158251354493101E-3</v>
      </c>
      <c r="S81" s="120">
        <f t="shared" si="17"/>
        <v>9.5158251354493101E-3</v>
      </c>
      <c r="T81" s="121">
        <f t="shared" si="18"/>
        <v>214435472543.83075</v>
      </c>
      <c r="U81" s="121">
        <f t="shared" si="19"/>
        <v>4458.665832400322</v>
      </c>
      <c r="V81" s="121">
        <f t="shared" si="20"/>
        <v>19879701.005014054</v>
      </c>
      <c r="W81"/>
    </row>
    <row r="82" spans="1:23" x14ac:dyDescent="0.2">
      <c r="A82" s="43">
        <v>44804</v>
      </c>
      <c r="B82" s="44">
        <v>50305270.650000006</v>
      </c>
      <c r="C82" s="44"/>
      <c r="D82" s="44">
        <f t="shared" si="16"/>
        <v>50305270.650000006</v>
      </c>
      <c r="E82" s="44"/>
      <c r="F82" s="44"/>
      <c r="G82" s="139">
        <f t="shared" si="21"/>
        <v>50305270.650000006</v>
      </c>
      <c r="H82" s="44">
        <v>0</v>
      </c>
      <c r="I82" s="44">
        <v>124.5</v>
      </c>
      <c r="J82" s="44">
        <v>31</v>
      </c>
      <c r="K82" s="142">
        <v>0</v>
      </c>
      <c r="L82" s="44">
        <v>30288.201783348959</v>
      </c>
      <c r="M82" s="44">
        <v>1</v>
      </c>
      <c r="N82" s="44">
        <v>32383717</v>
      </c>
      <c r="O82" s="44">
        <v>0</v>
      </c>
      <c r="P82" s="44">
        <f t="shared" si="13"/>
        <v>50665337.72192736</v>
      </c>
      <c r="Q82" s="29">
        <f t="shared" si="14"/>
        <v>360067.07192735374</v>
      </c>
      <c r="R82" s="37">
        <f t="shared" si="15"/>
        <v>7.1576410836257714E-3</v>
      </c>
      <c r="S82" s="120">
        <f t="shared" si="17"/>
        <v>7.1576410836257714E-3</v>
      </c>
      <c r="T82" s="121">
        <f t="shared" si="18"/>
        <v>129648296286.33813</v>
      </c>
      <c r="U82" s="121">
        <f t="shared" si="19"/>
        <v>823138.85096795857</v>
      </c>
      <c r="V82" s="121">
        <f t="shared" si="20"/>
        <v>677557567972.85107</v>
      </c>
      <c r="W82"/>
    </row>
    <row r="83" spans="1:23" x14ac:dyDescent="0.2">
      <c r="A83" s="43">
        <v>44834</v>
      </c>
      <c r="B83" s="44">
        <v>39382537.389999993</v>
      </c>
      <c r="C83" s="44"/>
      <c r="D83" s="44">
        <f t="shared" si="16"/>
        <v>39382537.389999993</v>
      </c>
      <c r="E83" s="44"/>
      <c r="F83" s="44"/>
      <c r="G83" s="139">
        <f t="shared" si="21"/>
        <v>39382537.389999993</v>
      </c>
      <c r="H83" s="44">
        <v>40.299999999999997</v>
      </c>
      <c r="I83" s="44">
        <v>40.200000000000003</v>
      </c>
      <c r="J83" s="44">
        <v>30</v>
      </c>
      <c r="K83" s="142">
        <v>1</v>
      </c>
      <c r="L83" s="44">
        <v>30321.195600605864</v>
      </c>
      <c r="M83" s="44">
        <v>0</v>
      </c>
      <c r="N83" s="44">
        <v>32071846</v>
      </c>
      <c r="O83" s="44">
        <v>0</v>
      </c>
      <c r="P83" s="44">
        <f t="shared" si="13"/>
        <v>38793893.049408205</v>
      </c>
      <c r="Q83" s="29">
        <f t="shared" si="14"/>
        <v>-588644.34059178829</v>
      </c>
      <c r="R83" s="37">
        <f t="shared" si="15"/>
        <v>-1.4946836329069461E-2</v>
      </c>
      <c r="S83" s="120">
        <f t="shared" si="17"/>
        <v>1.4946836329069461E-2</v>
      </c>
      <c r="T83" s="121">
        <f t="shared" si="18"/>
        <v>346502159710.74127</v>
      </c>
      <c r="U83" s="121">
        <f t="shared" si="19"/>
        <v>-948711.41251914203</v>
      </c>
      <c r="V83" s="121">
        <f t="shared" si="20"/>
        <v>900053344244.06567</v>
      </c>
      <c r="W83"/>
    </row>
    <row r="84" spans="1:23" x14ac:dyDescent="0.2">
      <c r="A84" s="43">
        <v>44865</v>
      </c>
      <c r="B84" s="44">
        <v>37553806.789999999</v>
      </c>
      <c r="C84" s="44"/>
      <c r="D84" s="44">
        <f t="shared" si="16"/>
        <v>37553806.789999999</v>
      </c>
      <c r="E84" s="44"/>
      <c r="F84" s="44"/>
      <c r="G84" s="139">
        <f t="shared" si="21"/>
        <v>37553806.789999999</v>
      </c>
      <c r="H84" s="44">
        <v>167.4</v>
      </c>
      <c r="I84" s="44">
        <v>0</v>
      </c>
      <c r="J84" s="44">
        <v>31</v>
      </c>
      <c r="K84" s="142">
        <v>1</v>
      </c>
      <c r="L84" s="44">
        <v>30354.226396018206</v>
      </c>
      <c r="M84" s="44">
        <v>0</v>
      </c>
      <c r="N84" s="44">
        <v>31414203</v>
      </c>
      <c r="O84" s="44">
        <v>0</v>
      </c>
      <c r="P84" s="44">
        <f t="shared" si="13"/>
        <v>38760819.11328584</v>
      </c>
      <c r="Q84" s="29">
        <f t="shared" si="14"/>
        <v>1207012.3232858405</v>
      </c>
      <c r="R84" s="37">
        <f t="shared" si="15"/>
        <v>3.2140878021645711E-2</v>
      </c>
      <c r="S84" s="120">
        <f t="shared" si="17"/>
        <v>3.2140878021645711E-2</v>
      </c>
      <c r="T84" s="121">
        <f t="shared" si="18"/>
        <v>1456878748563.8823</v>
      </c>
      <c r="U84" s="121">
        <f t="shared" si="19"/>
        <v>1795656.6638776287</v>
      </c>
      <c r="V84" s="121">
        <f t="shared" si="20"/>
        <v>3224382854528.1353</v>
      </c>
      <c r="W84"/>
    </row>
    <row r="85" spans="1:23" x14ac:dyDescent="0.2">
      <c r="A85" s="43">
        <v>44895</v>
      </c>
      <c r="B85" s="44">
        <v>40003680.919999994</v>
      </c>
      <c r="C85" s="44"/>
      <c r="D85" s="44">
        <f t="shared" si="16"/>
        <v>40003680.919999994</v>
      </c>
      <c r="E85" s="44"/>
      <c r="F85" s="44"/>
      <c r="G85" s="139">
        <f t="shared" si="21"/>
        <v>40003680.919999994</v>
      </c>
      <c r="H85" s="44">
        <v>160.1</v>
      </c>
      <c r="I85" s="44">
        <v>0.5</v>
      </c>
      <c r="J85" s="44">
        <v>30</v>
      </c>
      <c r="K85" s="142">
        <v>1</v>
      </c>
      <c r="L85" s="44">
        <v>30387.294210101794</v>
      </c>
      <c r="M85" s="44">
        <v>0</v>
      </c>
      <c r="N85" s="44">
        <v>32695844</v>
      </c>
      <c r="O85" s="44">
        <v>0</v>
      </c>
      <c r="P85" s="44">
        <f t="shared" si="13"/>
        <v>38098563.775870718</v>
      </c>
      <c r="Q85" s="29">
        <f t="shared" si="14"/>
        <v>-1905117.1441292763</v>
      </c>
      <c r="R85" s="37">
        <f t="shared" si="15"/>
        <v>-4.7623546141645323E-2</v>
      </c>
      <c r="S85" s="120">
        <f t="shared" si="17"/>
        <v>4.7623546141645323E-2</v>
      </c>
      <c r="T85" s="121">
        <f t="shared" si="18"/>
        <v>3629471332855.2896</v>
      </c>
      <c r="U85" s="121">
        <f t="shared" si="19"/>
        <v>-3112129.4674151167</v>
      </c>
      <c r="V85" s="121">
        <f t="shared" si="20"/>
        <v>9685349821953.498</v>
      </c>
      <c r="W85"/>
    </row>
    <row r="86" spans="1:23" x14ac:dyDescent="0.2">
      <c r="A86" s="43">
        <v>44926</v>
      </c>
      <c r="B86" s="44">
        <v>43494268.570000008</v>
      </c>
      <c r="C86" s="44"/>
      <c r="D86" s="44">
        <f t="shared" si="16"/>
        <v>43494268.570000008</v>
      </c>
      <c r="E86" s="44"/>
      <c r="F86" s="44"/>
      <c r="G86" s="139">
        <f t="shared" si="21"/>
        <v>43494268.570000008</v>
      </c>
      <c r="H86" s="44">
        <v>277.39999999999998</v>
      </c>
      <c r="I86" s="44">
        <v>0</v>
      </c>
      <c r="J86" s="44">
        <v>31</v>
      </c>
      <c r="K86" s="142">
        <v>0</v>
      </c>
      <c r="L86" s="44">
        <v>30420.399083417979</v>
      </c>
      <c r="M86" s="44">
        <v>0</v>
      </c>
      <c r="N86" s="44">
        <v>29643493</v>
      </c>
      <c r="O86" s="44">
        <v>0</v>
      </c>
      <c r="P86" s="44">
        <f t="shared" si="13"/>
        <v>42744028.530343011</v>
      </c>
      <c r="Q86" s="29">
        <f t="shared" si="14"/>
        <v>-750240.03965699673</v>
      </c>
      <c r="R86" s="37">
        <f t="shared" si="15"/>
        <v>-1.7249170162490599E-2</v>
      </c>
      <c r="S86" s="120">
        <f t="shared" si="17"/>
        <v>1.7249170162490599E-2</v>
      </c>
      <c r="T86" s="121">
        <f t="shared" si="18"/>
        <v>562860117104.53198</v>
      </c>
      <c r="U86" s="121">
        <f t="shared" si="19"/>
        <v>1154877.1044722795</v>
      </c>
      <c r="V86" s="121">
        <f t="shared" si="20"/>
        <v>1333741126434.2766</v>
      </c>
      <c r="W86"/>
    </row>
    <row r="87" spans="1:23" x14ac:dyDescent="0.2">
      <c r="A87" s="43">
        <v>44957</v>
      </c>
      <c r="B87" s="44">
        <v>45510419.480000004</v>
      </c>
      <c r="C87" s="44"/>
      <c r="D87" s="44">
        <f t="shared" si="16"/>
        <v>45510419.480000004</v>
      </c>
      <c r="E87" s="44"/>
      <c r="F87" s="44"/>
      <c r="G87" s="139">
        <f t="shared" si="21"/>
        <v>45510419.480000004</v>
      </c>
      <c r="H87" s="44">
        <v>277</v>
      </c>
      <c r="I87" s="44">
        <v>0</v>
      </c>
      <c r="J87" s="87">
        <v>31</v>
      </c>
      <c r="K87" s="142">
        <v>0</v>
      </c>
      <c r="L87" s="44">
        <v>30443.344336572201</v>
      </c>
      <c r="M87" s="44">
        <v>0</v>
      </c>
      <c r="N87" s="44">
        <v>30319221</v>
      </c>
      <c r="O87" s="44">
        <v>0</v>
      </c>
      <c r="P87" s="44">
        <f t="shared" si="13"/>
        <v>42900717.217941858</v>
      </c>
      <c r="Q87" s="29">
        <f t="shared" si="14"/>
        <v>-2609702.2620581463</v>
      </c>
      <c r="R87" s="37">
        <f t="shared" si="15"/>
        <v>-5.7342962158479012E-2</v>
      </c>
      <c r="S87" s="120">
        <f t="shared" si="17"/>
        <v>5.7342962158479012E-2</v>
      </c>
      <c r="T87" s="121">
        <f t="shared" si="18"/>
        <v>6810545896591.4053</v>
      </c>
      <c r="U87" s="121">
        <f t="shared" si="19"/>
        <v>-1859462.2224011496</v>
      </c>
      <c r="V87" s="121">
        <f t="shared" si="20"/>
        <v>3457599756537.0225</v>
      </c>
      <c r="W87"/>
    </row>
    <row r="88" spans="1:23" x14ac:dyDescent="0.2">
      <c r="A88" s="43">
        <v>44985</v>
      </c>
      <c r="B88" s="44">
        <v>40593634.479999997</v>
      </c>
      <c r="C88" s="44"/>
      <c r="D88" s="44">
        <f t="shared" si="16"/>
        <v>40593634.479999997</v>
      </c>
      <c r="E88" s="44"/>
      <c r="F88" s="44"/>
      <c r="G88" s="139">
        <f t="shared" si="21"/>
        <v>40593634.479999997</v>
      </c>
      <c r="H88" s="44">
        <v>333.3</v>
      </c>
      <c r="I88" s="44">
        <v>0</v>
      </c>
      <c r="J88" s="87">
        <v>28</v>
      </c>
      <c r="K88" s="142">
        <v>0</v>
      </c>
      <c r="L88" s="44">
        <v>30466.308746494415</v>
      </c>
      <c r="M88" s="44">
        <v>0</v>
      </c>
      <c r="N88" s="44">
        <v>28706074</v>
      </c>
      <c r="O88" s="44">
        <v>0</v>
      </c>
      <c r="P88" s="44">
        <f t="shared" si="13"/>
        <v>40684100.422387265</v>
      </c>
      <c r="Q88" s="29">
        <f t="shared" si="14"/>
        <v>90465.942387267947</v>
      </c>
      <c r="R88" s="37">
        <f t="shared" si="15"/>
        <v>2.2285745917094328E-3</v>
      </c>
      <c r="S88" s="120">
        <f t="shared" si="17"/>
        <v>2.2285745917094328E-3</v>
      </c>
      <c r="T88" s="121">
        <f t="shared" si="18"/>
        <v>8184086732.0164833</v>
      </c>
      <c r="U88" s="121">
        <f t="shared" si="19"/>
        <v>2700168.2044454142</v>
      </c>
      <c r="V88" s="121">
        <f t="shared" si="20"/>
        <v>7290908332297.9727</v>
      </c>
      <c r="W88"/>
    </row>
    <row r="89" spans="1:23" x14ac:dyDescent="0.2">
      <c r="A89" s="43">
        <v>45016</v>
      </c>
      <c r="B89" s="44">
        <v>43934162.409999996</v>
      </c>
      <c r="C89" s="44"/>
      <c r="D89" s="44">
        <f t="shared" si="16"/>
        <v>43934162.409999996</v>
      </c>
      <c r="E89" s="44"/>
      <c r="F89" s="44"/>
      <c r="G89" s="139">
        <f t="shared" si="21"/>
        <v>43934162.409999996</v>
      </c>
      <c r="H89" s="44">
        <v>395.4</v>
      </c>
      <c r="I89" s="44">
        <v>0</v>
      </c>
      <c r="J89" s="87">
        <v>31</v>
      </c>
      <c r="K89" s="142">
        <v>1</v>
      </c>
      <c r="L89" s="44">
        <v>30489.292329108735</v>
      </c>
      <c r="M89" s="44">
        <v>0</v>
      </c>
      <c r="N89" s="44">
        <v>35137172</v>
      </c>
      <c r="O89" s="44">
        <v>0</v>
      </c>
      <c r="P89" s="44">
        <f t="shared" si="13"/>
        <v>42857224.087433495</v>
      </c>
      <c r="Q89" s="29">
        <f t="shared" si="14"/>
        <v>-1076938.3225665018</v>
      </c>
      <c r="R89" s="37">
        <f t="shared" si="15"/>
        <v>-2.4512549312226704E-2</v>
      </c>
      <c r="S89" s="120">
        <f t="shared" si="17"/>
        <v>2.4512549312226704E-2</v>
      </c>
      <c r="T89" s="121">
        <f t="shared" si="18"/>
        <v>1159796150612.3506</v>
      </c>
      <c r="U89" s="121">
        <f t="shared" si="19"/>
        <v>-1167404.2649537697</v>
      </c>
      <c r="V89" s="121">
        <f t="shared" si="20"/>
        <v>1362832717832.2515</v>
      </c>
      <c r="W89"/>
    </row>
    <row r="90" spans="1:23" x14ac:dyDescent="0.2">
      <c r="A90" s="43">
        <v>45046</v>
      </c>
      <c r="B90" s="44">
        <v>36677861.57</v>
      </c>
      <c r="C90" s="44"/>
      <c r="D90" s="44">
        <f t="shared" si="16"/>
        <v>36677861.57</v>
      </c>
      <c r="E90" s="44"/>
      <c r="F90" s="44"/>
      <c r="G90" s="139">
        <f t="shared" si="21"/>
        <v>36677861.57</v>
      </c>
      <c r="H90" s="44">
        <v>191.8</v>
      </c>
      <c r="I90" s="44">
        <v>0</v>
      </c>
      <c r="J90" s="87">
        <v>30</v>
      </c>
      <c r="K90" s="142">
        <v>1</v>
      </c>
      <c r="L90" s="44">
        <v>30512.295100352523</v>
      </c>
      <c r="M90" s="44">
        <v>0</v>
      </c>
      <c r="N90" s="44">
        <v>30806218</v>
      </c>
      <c r="O90" s="44">
        <v>0</v>
      </c>
      <c r="P90" s="44">
        <f t="shared" si="13"/>
        <v>38198344.543460622</v>
      </c>
      <c r="Q90" s="29">
        <f t="shared" si="14"/>
        <v>1520482.9734606221</v>
      </c>
      <c r="R90" s="37">
        <f t="shared" si="15"/>
        <v>4.1455060583583038E-2</v>
      </c>
      <c r="S90" s="120">
        <f t="shared" si="17"/>
        <v>4.1455060583583038E-2</v>
      </c>
      <c r="T90" s="121">
        <f t="shared" si="18"/>
        <v>2311868472583.6548</v>
      </c>
      <c r="U90" s="121">
        <f t="shared" si="19"/>
        <v>2597421.2960271239</v>
      </c>
      <c r="V90" s="121">
        <f t="shared" si="20"/>
        <v>6746597389055.2246</v>
      </c>
      <c r="W90"/>
    </row>
    <row r="91" spans="1:23" x14ac:dyDescent="0.2">
      <c r="A91" s="43">
        <v>45077</v>
      </c>
      <c r="B91" s="44">
        <v>36888674.030000001</v>
      </c>
      <c r="C91" s="44"/>
      <c r="D91" s="44">
        <f t="shared" si="16"/>
        <v>36888674.030000001</v>
      </c>
      <c r="E91" s="44"/>
      <c r="F91" s="44"/>
      <c r="G91" s="139">
        <f t="shared" si="21"/>
        <v>36888674.030000001</v>
      </c>
      <c r="H91" s="44">
        <v>75.599999999999994</v>
      </c>
      <c r="I91" s="44">
        <v>1.5</v>
      </c>
      <c r="J91" s="87">
        <v>31</v>
      </c>
      <c r="K91" s="142">
        <v>1</v>
      </c>
      <c r="L91" s="44">
        <v>30535.317076176383</v>
      </c>
      <c r="M91" s="44">
        <v>0</v>
      </c>
      <c r="N91" s="44">
        <v>35610160</v>
      </c>
      <c r="O91" s="44">
        <v>0</v>
      </c>
      <c r="P91" s="44">
        <f t="shared" si="13"/>
        <v>38607419.518888049</v>
      </c>
      <c r="Q91" s="29">
        <f t="shared" si="14"/>
        <v>1718745.4888880476</v>
      </c>
      <c r="R91" s="37">
        <f t="shared" si="15"/>
        <v>4.6592769571773288E-2</v>
      </c>
      <c r="S91" s="120">
        <f t="shared" si="17"/>
        <v>4.6592769571773288E-2</v>
      </c>
      <c r="T91" s="121">
        <f t="shared" si="18"/>
        <v>2954086055573.0137</v>
      </c>
      <c r="U91" s="121">
        <f t="shared" si="19"/>
        <v>198262.5154274255</v>
      </c>
      <c r="V91" s="121">
        <f t="shared" si="20"/>
        <v>39308025023.610138</v>
      </c>
      <c r="W91"/>
    </row>
    <row r="92" spans="1:23" x14ac:dyDescent="0.2">
      <c r="A92" s="43">
        <v>45107</v>
      </c>
      <c r="B92" s="44">
        <v>40222295.869999997</v>
      </c>
      <c r="C92" s="44"/>
      <c r="D92" s="44">
        <f t="shared" si="16"/>
        <v>40222295.869999997</v>
      </c>
      <c r="E92" s="44"/>
      <c r="F92" s="44"/>
      <c r="G92" s="139">
        <f t="shared" si="21"/>
        <v>40222295.869999997</v>
      </c>
      <c r="H92" s="44">
        <v>16.100000000000001</v>
      </c>
      <c r="I92" s="44">
        <v>47.4</v>
      </c>
      <c r="J92" s="87">
        <v>30</v>
      </c>
      <c r="K92" s="142">
        <v>0</v>
      </c>
      <c r="L92" s="44">
        <v>30558.358272544192</v>
      </c>
      <c r="M92" s="44">
        <v>0</v>
      </c>
      <c r="N92" s="44">
        <v>35430157</v>
      </c>
      <c r="O92" s="44">
        <v>0</v>
      </c>
      <c r="P92" s="44">
        <f t="shared" si="13"/>
        <v>42589511.232378751</v>
      </c>
      <c r="Q92" s="29">
        <f t="shared" si="14"/>
        <v>2367215.3623787537</v>
      </c>
      <c r="R92" s="37">
        <f t="shared" si="15"/>
        <v>5.8853312849910022E-2</v>
      </c>
      <c r="S92" s="120">
        <f t="shared" si="17"/>
        <v>5.8853312849910022E-2</v>
      </c>
      <c r="T92" s="121">
        <f t="shared" si="18"/>
        <v>5603708571881.9746</v>
      </c>
      <c r="U92" s="121">
        <f t="shared" si="19"/>
        <v>648469.87349070609</v>
      </c>
      <c r="V92" s="121">
        <f t="shared" si="20"/>
        <v>420513176825.05237</v>
      </c>
      <c r="W92"/>
    </row>
    <row r="93" spans="1:23" x14ac:dyDescent="0.2">
      <c r="A93" s="43">
        <v>45138</v>
      </c>
      <c r="B93" s="44">
        <v>49568677.709999993</v>
      </c>
      <c r="C93" s="44"/>
      <c r="D93" s="44">
        <f t="shared" si="16"/>
        <v>49568677.709999993</v>
      </c>
      <c r="E93" s="44"/>
      <c r="F93" s="44"/>
      <c r="G93" s="139">
        <f t="shared" si="21"/>
        <v>49568677.709999993</v>
      </c>
      <c r="H93" s="44">
        <v>0</v>
      </c>
      <c r="I93" s="44">
        <v>66</v>
      </c>
      <c r="J93" s="87">
        <v>31</v>
      </c>
      <c r="K93" s="142">
        <v>0</v>
      </c>
      <c r="L93" s="44">
        <v>30581.418705433098</v>
      </c>
      <c r="M93" s="44">
        <v>1</v>
      </c>
      <c r="N93" s="44">
        <v>30739689</v>
      </c>
      <c r="O93" s="44">
        <v>0</v>
      </c>
      <c r="P93" s="44">
        <f t="shared" si="13"/>
        <v>46762302.481266394</v>
      </c>
      <c r="Q93" s="29">
        <f t="shared" si="14"/>
        <v>-2806375.2287335992</v>
      </c>
      <c r="R93" s="37">
        <f t="shared" si="15"/>
        <v>-5.6615898554974779E-2</v>
      </c>
      <c r="S93" s="120">
        <f t="shared" si="17"/>
        <v>5.6615898554974779E-2</v>
      </c>
      <c r="T93" s="121">
        <f t="shared" si="18"/>
        <v>7875741924449.5615</v>
      </c>
      <c r="U93" s="121">
        <f t="shared" si="19"/>
        <v>-5173590.5911123529</v>
      </c>
      <c r="V93" s="121">
        <f t="shared" si="20"/>
        <v>26766039604446.266</v>
      </c>
      <c r="W93"/>
    </row>
    <row r="94" spans="1:23" x14ac:dyDescent="0.2">
      <c r="A94" s="43">
        <v>45169</v>
      </c>
      <c r="B94" s="44">
        <v>45201847.869999997</v>
      </c>
      <c r="C94" s="44"/>
      <c r="D94" s="44">
        <f t="shared" si="16"/>
        <v>45201847.869999997</v>
      </c>
      <c r="E94" s="44"/>
      <c r="F94" s="44"/>
      <c r="G94" s="139">
        <f t="shared" si="21"/>
        <v>45201847.869999997</v>
      </c>
      <c r="H94" s="44">
        <v>5</v>
      </c>
      <c r="I94" s="44">
        <v>31.9</v>
      </c>
      <c r="J94" s="87">
        <v>31</v>
      </c>
      <c r="K94" s="142">
        <v>0</v>
      </c>
      <c r="L94" s="44">
        <v>30604.498390833527</v>
      </c>
      <c r="M94" s="44">
        <v>1</v>
      </c>
      <c r="N94" s="44">
        <v>34951158</v>
      </c>
      <c r="O94" s="44">
        <v>0</v>
      </c>
      <c r="P94" s="44">
        <f t="shared" si="13"/>
        <v>45557016.141724288</v>
      </c>
      <c r="Q94" s="29">
        <f t="shared" si="14"/>
        <v>355168.27172429115</v>
      </c>
      <c r="R94" s="37">
        <f t="shared" si="15"/>
        <v>7.857383900449183E-3</v>
      </c>
      <c r="S94" s="120">
        <f t="shared" si="17"/>
        <v>7.857383900449183E-3</v>
      </c>
      <c r="T94" s="121">
        <f t="shared" si="18"/>
        <v>126144501239.6199</v>
      </c>
      <c r="U94" s="121">
        <f t="shared" si="19"/>
        <v>3161543.5004578903</v>
      </c>
      <c r="V94" s="121">
        <f t="shared" si="20"/>
        <v>9995357305287.5313</v>
      </c>
      <c r="W94"/>
    </row>
    <row r="95" spans="1:23" x14ac:dyDescent="0.2">
      <c r="A95" s="43">
        <v>45199</v>
      </c>
      <c r="B95" s="44">
        <v>39637735.119999997</v>
      </c>
      <c r="C95" s="44"/>
      <c r="D95" s="44">
        <f t="shared" si="16"/>
        <v>39637735.119999997</v>
      </c>
      <c r="E95" s="44"/>
      <c r="F95" s="44"/>
      <c r="G95" s="139">
        <f t="shared" si="21"/>
        <v>39637735.119999997</v>
      </c>
      <c r="H95" s="44">
        <v>23.9</v>
      </c>
      <c r="I95" s="44">
        <v>27.1</v>
      </c>
      <c r="J95" s="87">
        <v>30</v>
      </c>
      <c r="K95" s="142">
        <v>1</v>
      </c>
      <c r="L95" s="44">
        <v>30627.597344749222</v>
      </c>
      <c r="M95" s="44">
        <v>0</v>
      </c>
      <c r="N95" s="44">
        <v>33705088</v>
      </c>
      <c r="O95" s="44">
        <v>0</v>
      </c>
      <c r="P95" s="44">
        <f t="shared" si="13"/>
        <v>38299964.860428549</v>
      </c>
      <c r="Q95" s="29">
        <f t="shared" si="14"/>
        <v>-1337770.259571448</v>
      </c>
      <c r="R95" s="37">
        <f t="shared" si="15"/>
        <v>-3.3749916727619733E-2</v>
      </c>
      <c r="S95" s="120">
        <f t="shared" si="17"/>
        <v>3.3749916727619733E-2</v>
      </c>
      <c r="T95" s="121">
        <f t="shared" si="18"/>
        <v>1789629267393.8594</v>
      </c>
      <c r="U95" s="121">
        <f t="shared" si="19"/>
        <v>-1692938.5312957391</v>
      </c>
      <c r="V95" s="121">
        <f t="shared" si="20"/>
        <v>2866040870745.7744</v>
      </c>
      <c r="W95"/>
    </row>
    <row r="96" spans="1:23" x14ac:dyDescent="0.2">
      <c r="A96" s="43">
        <v>45230</v>
      </c>
      <c r="B96" s="44">
        <v>38621809.75</v>
      </c>
      <c r="C96" s="44"/>
      <c r="D96" s="44">
        <f t="shared" si="16"/>
        <v>38621809.75</v>
      </c>
      <c r="E96" s="44"/>
      <c r="F96" s="44"/>
      <c r="G96" s="139">
        <f t="shared" si="21"/>
        <v>38621809.75</v>
      </c>
      <c r="H96" s="44">
        <v>156.19999999999999</v>
      </c>
      <c r="I96" s="44">
        <v>9.6</v>
      </c>
      <c r="J96" s="87">
        <v>31</v>
      </c>
      <c r="K96" s="142">
        <v>1</v>
      </c>
      <c r="L96" s="44">
        <v>30650.715583197216</v>
      </c>
      <c r="M96" s="44">
        <v>0</v>
      </c>
      <c r="N96" s="44">
        <v>32086092</v>
      </c>
      <c r="O96" s="44">
        <v>0</v>
      </c>
      <c r="P96" s="44">
        <f t="shared" si="13"/>
        <v>39588506.468419716</v>
      </c>
      <c r="Q96" s="29">
        <f t="shared" si="14"/>
        <v>966696.71841971576</v>
      </c>
      <c r="R96" s="37">
        <f t="shared" si="15"/>
        <v>2.5029814104444336E-2</v>
      </c>
      <c r="S96" s="120">
        <f t="shared" si="17"/>
        <v>2.5029814104444336E-2</v>
      </c>
      <c r="T96" s="121">
        <f t="shared" si="18"/>
        <v>934502545403.44727</v>
      </c>
      <c r="U96" s="121">
        <f t="shared" si="19"/>
        <v>2304466.9779911637</v>
      </c>
      <c r="V96" s="121">
        <f t="shared" si="20"/>
        <v>5310568052651.7266</v>
      </c>
      <c r="W96"/>
    </row>
    <row r="97" spans="1:23" x14ac:dyDescent="0.2">
      <c r="A97" s="43">
        <v>45260</v>
      </c>
      <c r="B97" s="44">
        <v>40520985.550000004</v>
      </c>
      <c r="C97" s="44"/>
      <c r="D97" s="44">
        <f t="shared" si="16"/>
        <v>40520985.550000004</v>
      </c>
      <c r="E97" s="44"/>
      <c r="F97" s="44"/>
      <c r="G97" s="139">
        <f t="shared" si="21"/>
        <v>40520985.550000004</v>
      </c>
      <c r="H97" s="44">
        <v>282.2</v>
      </c>
      <c r="I97" s="44">
        <v>0</v>
      </c>
      <c r="J97" s="87">
        <v>30</v>
      </c>
      <c r="K97" s="142">
        <v>1</v>
      </c>
      <c r="L97" s="44">
        <v>30673.853122207878</v>
      </c>
      <c r="M97" s="44">
        <v>0</v>
      </c>
      <c r="N97" s="44">
        <v>33676082</v>
      </c>
      <c r="O97" s="44">
        <v>0</v>
      </c>
      <c r="P97" s="44">
        <f t="shared" si="13"/>
        <v>40202675.726869784</v>
      </c>
      <c r="Q97" s="29">
        <f t="shared" si="14"/>
        <v>-318309.82313022017</v>
      </c>
      <c r="R97" s="37">
        <f t="shared" si="15"/>
        <v>-7.8554314217616598E-3</v>
      </c>
      <c r="S97" s="120">
        <f t="shared" si="17"/>
        <v>7.8554314217616598E-3</v>
      </c>
      <c r="T97" s="121">
        <f t="shared" si="18"/>
        <v>101321143501.19205</v>
      </c>
      <c r="U97" s="121">
        <f t="shared" si="19"/>
        <v>-1285006.5415499359</v>
      </c>
      <c r="V97" s="121">
        <f t="shared" si="20"/>
        <v>1651241811826.1272</v>
      </c>
      <c r="W97"/>
    </row>
    <row r="98" spans="1:23" x14ac:dyDescent="0.2">
      <c r="A98" s="43">
        <v>45291</v>
      </c>
      <c r="B98" s="44">
        <v>42198963.640000001</v>
      </c>
      <c r="C98" s="44"/>
      <c r="D98" s="44">
        <f t="shared" si="16"/>
        <v>42198963.640000001</v>
      </c>
      <c r="E98" s="44"/>
      <c r="F98" s="44"/>
      <c r="G98" s="139">
        <f t="shared" si="21"/>
        <v>42198963.640000001</v>
      </c>
      <c r="H98" s="44">
        <v>363</v>
      </c>
      <c r="I98" s="44">
        <v>0</v>
      </c>
      <c r="J98" s="87">
        <v>31</v>
      </c>
      <c r="K98" s="142">
        <v>0</v>
      </c>
      <c r="L98" s="44">
        <v>30697.009977824891</v>
      </c>
      <c r="M98" s="44">
        <v>0</v>
      </c>
      <c r="N98" s="44">
        <v>28525472</v>
      </c>
      <c r="O98" s="44">
        <v>0</v>
      </c>
      <c r="P98" s="44">
        <f t="shared" si="13"/>
        <v>43910660.229780376</v>
      </c>
      <c r="Q98" s="29">
        <f t="shared" si="14"/>
        <v>1711696.5897803754</v>
      </c>
      <c r="R98" s="37">
        <f t="shared" si="15"/>
        <v>4.0562526709965796E-2</v>
      </c>
      <c r="S98" s="120">
        <f t="shared" si="17"/>
        <v>4.0562526709965796E-2</v>
      </c>
      <c r="T98" s="121">
        <f t="shared" si="18"/>
        <v>2929905215465.7666</v>
      </c>
      <c r="U98" s="121">
        <f t="shared" si="19"/>
        <v>2030006.4129105955</v>
      </c>
      <c r="V98" s="121">
        <f t="shared" si="20"/>
        <v>4120926036458.1431</v>
      </c>
      <c r="W98"/>
    </row>
    <row r="99" spans="1:23" x14ac:dyDescent="0.2">
      <c r="A99" s="43">
        <v>45322</v>
      </c>
      <c r="B99" s="44">
        <v>47060012.019999996</v>
      </c>
      <c r="C99" s="44"/>
      <c r="D99" s="44">
        <f t="shared" si="16"/>
        <v>47060012.019999996</v>
      </c>
      <c r="E99" s="44"/>
      <c r="F99" s="44"/>
      <c r="G99" s="139">
        <f t="shared" si="21"/>
        <v>47060012.019999996</v>
      </c>
      <c r="H99" s="44">
        <v>414.5</v>
      </c>
      <c r="I99" s="44">
        <v>0</v>
      </c>
      <c r="J99" s="44">
        <v>31</v>
      </c>
      <c r="K99" s="142">
        <v>0</v>
      </c>
      <c r="L99" s="44">
        <v>30715.120271248321</v>
      </c>
      <c r="M99" s="44">
        <v>0</v>
      </c>
      <c r="N99" s="44">
        <v>30250424</v>
      </c>
      <c r="O99" s="44">
        <v>0</v>
      </c>
      <c r="P99" s="44">
        <f t="shared" ref="P99:P130" si="22">$Y$30+$Y$31*H99+$Y$32*I99+$Y$33*J99+$Y$34*K99+$Y$35*L99+$Y$36*M99+$Y$37*N99</f>
        <v>45016533.763845071</v>
      </c>
      <c r="Q99" s="29">
        <f t="shared" ref="Q99:Q130" si="23">P99-G99</f>
        <v>-2043478.2561549246</v>
      </c>
      <c r="R99" s="37">
        <f t="shared" ref="R99:R122" si="24">Q99/G99</f>
        <v>-4.3422816281612264E-2</v>
      </c>
      <c r="S99" s="120">
        <f t="shared" si="17"/>
        <v>4.3422816281612264E-2</v>
      </c>
      <c r="T99" s="121">
        <f t="shared" si="18"/>
        <v>4175803383377.9717</v>
      </c>
      <c r="U99" s="121">
        <f t="shared" si="19"/>
        <v>-3755174.8459353</v>
      </c>
      <c r="V99" s="121">
        <f t="shared" si="20"/>
        <v>14101338123545.203</v>
      </c>
      <c r="W99"/>
    </row>
    <row r="100" spans="1:23" x14ac:dyDescent="0.2">
      <c r="A100" s="43">
        <v>45351</v>
      </c>
      <c r="B100" s="44">
        <v>41879542.609999999</v>
      </c>
      <c r="C100" s="44"/>
      <c r="D100" s="44">
        <f t="shared" si="16"/>
        <v>41879542.609999999</v>
      </c>
      <c r="E100" s="44"/>
      <c r="F100" s="44"/>
      <c r="G100" s="139">
        <f t="shared" si="21"/>
        <v>41879542.609999999</v>
      </c>
      <c r="H100" s="44">
        <v>354.1</v>
      </c>
      <c r="I100" s="44">
        <v>0</v>
      </c>
      <c r="J100" s="44">
        <v>29</v>
      </c>
      <c r="K100" s="142">
        <v>0</v>
      </c>
      <c r="L100" s="44">
        <v>30733.242003550138</v>
      </c>
      <c r="M100" s="44">
        <v>0</v>
      </c>
      <c r="N100" s="44">
        <v>30129780</v>
      </c>
      <c r="O100" s="44">
        <v>0</v>
      </c>
      <c r="P100" s="44">
        <f t="shared" si="22"/>
        <v>42373275.855460517</v>
      </c>
      <c r="Q100" s="29">
        <f t="shared" si="23"/>
        <v>493733.2454605177</v>
      </c>
      <c r="R100" s="37">
        <f t="shared" si="24"/>
        <v>1.1789365754501437E-2</v>
      </c>
      <c r="S100" s="120">
        <f t="shared" si="17"/>
        <v>1.1789365754501437E-2</v>
      </c>
      <c r="T100" s="121">
        <f t="shared" si="18"/>
        <v>243772517672.97583</v>
      </c>
      <c r="U100" s="121">
        <f t="shared" si="19"/>
        <v>2537211.5016154423</v>
      </c>
      <c r="V100" s="121">
        <f t="shared" si="20"/>
        <v>6437442203929.6875</v>
      </c>
      <c r="W100"/>
    </row>
    <row r="101" spans="1:23" x14ac:dyDescent="0.2">
      <c r="A101" s="43">
        <v>45382</v>
      </c>
      <c r="B101" s="44">
        <v>41149574.190000005</v>
      </c>
      <c r="C101" s="44"/>
      <c r="D101" s="44">
        <f t="shared" si="16"/>
        <v>41149574.190000005</v>
      </c>
      <c r="E101" s="44"/>
      <c r="F101" s="44"/>
      <c r="G101" s="139">
        <f t="shared" si="21"/>
        <v>41149574.190000005</v>
      </c>
      <c r="H101" s="44">
        <v>382.4</v>
      </c>
      <c r="I101" s="44">
        <v>0</v>
      </c>
      <c r="J101" s="44">
        <v>31</v>
      </c>
      <c r="K101" s="142">
        <v>1</v>
      </c>
      <c r="L101" s="44">
        <v>30751.375183087184</v>
      </c>
      <c r="M101" s="44">
        <v>0</v>
      </c>
      <c r="N101" s="44">
        <v>31413629</v>
      </c>
      <c r="O101" s="44">
        <v>0</v>
      </c>
      <c r="P101" s="44">
        <f t="shared" si="22"/>
        <v>42071361.903843932</v>
      </c>
      <c r="Q101" s="29">
        <f t="shared" si="23"/>
        <v>921787.71384392679</v>
      </c>
      <c r="R101" s="37">
        <f t="shared" si="24"/>
        <v>2.2400905282464276E-2</v>
      </c>
      <c r="S101" s="120">
        <f t="shared" si="17"/>
        <v>2.2400905282464276E-2</v>
      </c>
      <c r="T101" s="121">
        <f t="shared" si="18"/>
        <v>849692589393.61304</v>
      </c>
      <c r="U101" s="121">
        <f t="shared" si="19"/>
        <v>428054.46838340908</v>
      </c>
      <c r="V101" s="121">
        <f t="shared" si="20"/>
        <v>183230627903.00296</v>
      </c>
      <c r="W101"/>
    </row>
    <row r="102" spans="1:23" x14ac:dyDescent="0.2">
      <c r="A102" s="43">
        <v>45412</v>
      </c>
      <c r="B102" s="44">
        <v>37508717.170000002</v>
      </c>
      <c r="C102" s="44"/>
      <c r="D102" s="44">
        <f t="shared" si="16"/>
        <v>37508717.170000002</v>
      </c>
      <c r="E102" s="44"/>
      <c r="F102" s="44"/>
      <c r="G102" s="139">
        <f t="shared" si="21"/>
        <v>37508717.170000002</v>
      </c>
      <c r="H102" s="44">
        <v>210.3</v>
      </c>
      <c r="I102" s="44">
        <v>0</v>
      </c>
      <c r="J102" s="44">
        <v>30</v>
      </c>
      <c r="K102" s="142">
        <v>1</v>
      </c>
      <c r="L102" s="44">
        <v>30769.519818224573</v>
      </c>
      <c r="M102" s="44">
        <v>0</v>
      </c>
      <c r="N102" s="44">
        <v>31886888</v>
      </c>
      <c r="O102" s="44">
        <v>0</v>
      </c>
      <c r="P102" s="44">
        <f t="shared" si="22"/>
        <v>38882189.139408454</v>
      </c>
      <c r="Q102" s="29">
        <f t="shared" si="23"/>
        <v>1373471.9694084525</v>
      </c>
      <c r="R102" s="37">
        <f t="shared" si="24"/>
        <v>3.6617407179869499E-2</v>
      </c>
      <c r="S102" s="120">
        <f t="shared" si="17"/>
        <v>3.6617407179869499E-2</v>
      </c>
      <c r="T102" s="121">
        <f t="shared" si="18"/>
        <v>1886425250750.7332</v>
      </c>
      <c r="U102" s="121">
        <f t="shared" si="19"/>
        <v>451684.25556452572</v>
      </c>
      <c r="V102" s="121">
        <f t="shared" si="20"/>
        <v>204018666724.87979</v>
      </c>
      <c r="W102"/>
    </row>
    <row r="103" spans="1:23" x14ac:dyDescent="0.2">
      <c r="A103" s="43">
        <v>45443</v>
      </c>
      <c r="B103" s="44">
        <v>37754162.369999997</v>
      </c>
      <c r="C103" s="44"/>
      <c r="D103" s="44">
        <f t="shared" si="16"/>
        <v>37754162.369999997</v>
      </c>
      <c r="E103" s="44"/>
      <c r="F103" s="44"/>
      <c r="G103" s="139">
        <f t="shared" si="21"/>
        <v>37754162.369999997</v>
      </c>
      <c r="H103" s="44">
        <v>58.5</v>
      </c>
      <c r="I103" s="44">
        <v>10</v>
      </c>
      <c r="J103" s="44">
        <v>31</v>
      </c>
      <c r="K103" s="142">
        <v>1</v>
      </c>
      <c r="L103" s="44">
        <v>30787.675917335699</v>
      </c>
      <c r="M103" s="44">
        <v>0</v>
      </c>
      <c r="N103" s="44">
        <v>33307837</v>
      </c>
      <c r="O103" s="44">
        <v>0</v>
      </c>
      <c r="P103" s="44">
        <f t="shared" si="22"/>
        <v>38609733.565825351</v>
      </c>
      <c r="Q103" s="29">
        <f t="shared" si="23"/>
        <v>855571.19582535326</v>
      </c>
      <c r="R103" s="37">
        <f t="shared" si="24"/>
        <v>2.2661638932432056E-2</v>
      </c>
      <c r="S103" s="120">
        <f t="shared" si="17"/>
        <v>2.2661638932432056E-2</v>
      </c>
      <c r="T103" s="121">
        <f t="shared" si="18"/>
        <v>732002071126.02502</v>
      </c>
      <c r="U103" s="121">
        <f t="shared" si="19"/>
        <v>-517900.77358309925</v>
      </c>
      <c r="V103" s="121">
        <f t="shared" si="20"/>
        <v>268221211277.97263</v>
      </c>
      <c r="W103"/>
    </row>
    <row r="104" spans="1:23" x14ac:dyDescent="0.2">
      <c r="A104" s="43">
        <v>45473</v>
      </c>
      <c r="B104" s="44">
        <v>43680638.38000001</v>
      </c>
      <c r="C104" s="44"/>
      <c r="D104" s="44">
        <f t="shared" si="16"/>
        <v>43680638.38000001</v>
      </c>
      <c r="E104" s="44"/>
      <c r="F104" s="44"/>
      <c r="G104" s="139">
        <f t="shared" si="21"/>
        <v>43680638.38000001</v>
      </c>
      <c r="H104" s="44">
        <v>19.7</v>
      </c>
      <c r="I104" s="44">
        <v>77.7</v>
      </c>
      <c r="J104" s="139">
        <v>30</v>
      </c>
      <c r="K104" s="142">
        <v>0</v>
      </c>
      <c r="L104" s="44">
        <v>30805.843488802253</v>
      </c>
      <c r="M104" s="44">
        <v>0</v>
      </c>
      <c r="N104" s="44">
        <v>31143333</v>
      </c>
      <c r="O104" s="44">
        <v>0</v>
      </c>
      <c r="P104" s="44">
        <f t="shared" si="22"/>
        <v>43856730.811122343</v>
      </c>
      <c r="Q104" s="29">
        <f t="shared" si="23"/>
        <v>176092.43112233281</v>
      </c>
      <c r="R104" s="37">
        <f t="shared" si="24"/>
        <v>4.0313612083783101E-3</v>
      </c>
      <c r="S104" s="120">
        <f t="shared" si="17"/>
        <v>4.0313612083783101E-3</v>
      </c>
      <c r="T104" s="121">
        <f t="shared" si="18"/>
        <v>31008544298.573524</v>
      </c>
      <c r="U104" s="121">
        <f t="shared" si="19"/>
        <v>-679478.76470302045</v>
      </c>
      <c r="V104" s="121">
        <f t="shared" si="20"/>
        <v>461691391682.34265</v>
      </c>
      <c r="W104"/>
    </row>
    <row r="105" spans="1:23" x14ac:dyDescent="0.2">
      <c r="A105" s="43">
        <v>45504</v>
      </c>
      <c r="B105" s="44">
        <v>52412313.329999998</v>
      </c>
      <c r="C105" s="44"/>
      <c r="D105" s="44">
        <f t="shared" si="16"/>
        <v>52412313.329999998</v>
      </c>
      <c r="E105" s="44"/>
      <c r="F105" s="44"/>
      <c r="G105" s="139">
        <f t="shared" si="21"/>
        <v>52412313.329999998</v>
      </c>
      <c r="H105" s="44">
        <v>1.5</v>
      </c>
      <c r="I105" s="44">
        <v>118.4</v>
      </c>
      <c r="J105" s="44">
        <v>31</v>
      </c>
      <c r="K105" s="142">
        <v>0</v>
      </c>
      <c r="L105" s="44">
        <v>30824.022541014227</v>
      </c>
      <c r="M105" s="44">
        <v>1</v>
      </c>
      <c r="N105" s="44">
        <v>29943389</v>
      </c>
      <c r="O105" s="44">
        <v>0</v>
      </c>
      <c r="P105" s="44">
        <f t="shared" si="22"/>
        <v>50170071.002590604</v>
      </c>
      <c r="Q105" s="29">
        <f t="shared" si="23"/>
        <v>-2242242.3274093941</v>
      </c>
      <c r="R105" s="37">
        <f t="shared" si="24"/>
        <v>-4.2780831162549909E-2</v>
      </c>
      <c r="S105" s="120">
        <f t="shared" si="17"/>
        <v>4.2780831162549909E-2</v>
      </c>
      <c r="T105" s="121">
        <f t="shared" si="18"/>
        <v>5027650654826.2969</v>
      </c>
      <c r="U105" s="121">
        <f t="shared" si="19"/>
        <v>-2418334.7585317269</v>
      </c>
      <c r="V105" s="121">
        <f t="shared" si="20"/>
        <v>5848343004322.7061</v>
      </c>
      <c r="W105"/>
    </row>
    <row r="106" spans="1:23" x14ac:dyDescent="0.2">
      <c r="A106" s="43">
        <v>45535</v>
      </c>
      <c r="B106" s="44">
        <v>48798061.969999999</v>
      </c>
      <c r="C106" s="44"/>
      <c r="D106" s="44">
        <f t="shared" si="16"/>
        <v>48798061.969999999</v>
      </c>
      <c r="E106" s="44"/>
      <c r="F106" s="44"/>
      <c r="G106" s="139">
        <f t="shared" si="21"/>
        <v>48798061.969999999</v>
      </c>
      <c r="H106" s="44">
        <v>6.6</v>
      </c>
      <c r="I106" s="44">
        <v>106.7</v>
      </c>
      <c r="J106" s="44">
        <v>31</v>
      </c>
      <c r="K106" s="142">
        <v>0</v>
      </c>
      <c r="L106" s="44">
        <v>30842.213082369944</v>
      </c>
      <c r="M106" s="44">
        <v>1</v>
      </c>
      <c r="N106" s="44">
        <v>31000142</v>
      </c>
      <c r="O106" s="44">
        <v>0</v>
      </c>
      <c r="P106" s="44">
        <f t="shared" si="22"/>
        <v>49728266.297655448</v>
      </c>
      <c r="Q106" s="29">
        <f t="shared" si="23"/>
        <v>930204.32765544951</v>
      </c>
      <c r="R106" s="37">
        <f t="shared" si="24"/>
        <v>1.9062321127165237E-2</v>
      </c>
      <c r="S106" s="120">
        <f t="shared" si="17"/>
        <v>1.9062321127165237E-2</v>
      </c>
      <c r="T106" s="121">
        <f t="shared" si="18"/>
        <v>865280091188.92688</v>
      </c>
      <c r="U106" s="121">
        <f t="shared" si="19"/>
        <v>3172446.6550648436</v>
      </c>
      <c r="V106" s="121">
        <f t="shared" si="20"/>
        <v>10064417779232.115</v>
      </c>
      <c r="W106"/>
    </row>
    <row r="107" spans="1:23" x14ac:dyDescent="0.2">
      <c r="A107" s="43">
        <v>45565</v>
      </c>
      <c r="B107" s="44">
        <v>41452209.120000005</v>
      </c>
      <c r="C107" s="44"/>
      <c r="D107" s="44">
        <f t="shared" si="16"/>
        <v>41452209.120000005</v>
      </c>
      <c r="E107" s="44"/>
      <c r="F107" s="44"/>
      <c r="G107" s="139">
        <f t="shared" si="21"/>
        <v>41452209.120000005</v>
      </c>
      <c r="H107" s="44">
        <v>13.6</v>
      </c>
      <c r="I107" s="44">
        <v>71.2</v>
      </c>
      <c r="J107" s="44">
        <v>30</v>
      </c>
      <c r="K107" s="142">
        <v>1</v>
      </c>
      <c r="L107" s="44">
        <v>30860.415121276044</v>
      </c>
      <c r="M107" s="44">
        <v>0</v>
      </c>
      <c r="N107" s="44">
        <v>30980059</v>
      </c>
      <c r="O107" s="44">
        <v>0</v>
      </c>
      <c r="P107" s="44">
        <f t="shared" si="22"/>
        <v>40585985.395565532</v>
      </c>
      <c r="Q107" s="29">
        <f t="shared" si="23"/>
        <v>-866223.72443447262</v>
      </c>
      <c r="R107" s="37">
        <f t="shared" si="24"/>
        <v>-2.0896925467273442E-2</v>
      </c>
      <c r="S107" s="120">
        <f t="shared" si="17"/>
        <v>2.0896925467273442E-2</v>
      </c>
      <c r="T107" s="121">
        <f t="shared" si="18"/>
        <v>750343540773.12915</v>
      </c>
      <c r="U107" s="121">
        <f t="shared" si="19"/>
        <v>-1796428.0520899221</v>
      </c>
      <c r="V107" s="121">
        <f t="shared" si="20"/>
        <v>3227153746335.5918</v>
      </c>
      <c r="W107"/>
    </row>
    <row r="108" spans="1:23" x14ac:dyDescent="0.2">
      <c r="A108" s="43">
        <v>45596</v>
      </c>
      <c r="B108" s="44">
        <v>37912739.270000003</v>
      </c>
      <c r="C108" s="44"/>
      <c r="D108" s="44">
        <f t="shared" si="16"/>
        <v>37912739.270000003</v>
      </c>
      <c r="E108" s="44"/>
      <c r="F108" s="44"/>
      <c r="G108" s="139">
        <f t="shared" si="21"/>
        <v>37912739.270000003</v>
      </c>
      <c r="H108" s="44">
        <v>153.69999999999999</v>
      </c>
      <c r="I108" s="44">
        <v>3.3</v>
      </c>
      <c r="J108" s="44">
        <v>31</v>
      </c>
      <c r="K108" s="142">
        <v>1</v>
      </c>
      <c r="L108" s="44">
        <v>30878.62866614751</v>
      </c>
      <c r="M108" s="44">
        <v>0</v>
      </c>
      <c r="N108" s="44">
        <v>31977835</v>
      </c>
      <c r="O108" s="44">
        <v>0</v>
      </c>
      <c r="P108" s="44">
        <f t="shared" si="22"/>
        <v>39294799.32998734</v>
      </c>
      <c r="Q108" s="29">
        <f t="shared" si="23"/>
        <v>1382060.0599873364</v>
      </c>
      <c r="R108" s="37">
        <f t="shared" si="24"/>
        <v>3.645371151223957E-2</v>
      </c>
      <c r="S108" s="120">
        <f t="shared" si="17"/>
        <v>3.645371151223957E-2</v>
      </c>
      <c r="T108" s="121">
        <f t="shared" si="18"/>
        <v>1910090009412.2</v>
      </c>
      <c r="U108" s="121">
        <f t="shared" si="19"/>
        <v>2248283.784421809</v>
      </c>
      <c r="V108" s="121">
        <f t="shared" si="20"/>
        <v>5054779975294.0518</v>
      </c>
      <c r="W108"/>
    </row>
    <row r="109" spans="1:23" x14ac:dyDescent="0.2">
      <c r="A109" s="43">
        <v>45626</v>
      </c>
      <c r="B109" s="44">
        <v>38806066.369999997</v>
      </c>
      <c r="C109" s="44"/>
      <c r="D109" s="44">
        <f t="shared" si="16"/>
        <v>38806066.369999997</v>
      </c>
      <c r="E109" s="44"/>
      <c r="F109" s="44"/>
      <c r="G109" s="139">
        <f t="shared" si="21"/>
        <v>38806066.369999997</v>
      </c>
      <c r="H109" s="44">
        <v>303</v>
      </c>
      <c r="I109" s="44">
        <v>0.5</v>
      </c>
      <c r="J109" s="44">
        <v>30</v>
      </c>
      <c r="K109" s="142">
        <v>1</v>
      </c>
      <c r="L109" s="44">
        <v>30896.853725407691</v>
      </c>
      <c r="M109" s="44">
        <v>0</v>
      </c>
      <c r="N109" s="44">
        <v>31486058</v>
      </c>
      <c r="O109" s="44">
        <v>0</v>
      </c>
      <c r="P109" s="44">
        <f t="shared" si="22"/>
        <v>40222908.809006289</v>
      </c>
      <c r="Q109" s="29">
        <f t="shared" si="23"/>
        <v>1416842.4390062913</v>
      </c>
      <c r="R109" s="37">
        <f t="shared" si="24"/>
        <v>3.6510849244478359E-2</v>
      </c>
      <c r="S109" s="120">
        <f t="shared" si="17"/>
        <v>3.6510849244478359E-2</v>
      </c>
      <c r="T109" s="121">
        <f>Q109*Q109</f>
        <v>2007442496969.2964</v>
      </c>
      <c r="U109" s="121">
        <f t="shared" si="19"/>
        <v>34782.379018954933</v>
      </c>
      <c r="V109" s="121">
        <f t="shared" si="20"/>
        <v>1209813890.2182362</v>
      </c>
      <c r="W109"/>
    </row>
    <row r="110" spans="1:23" x14ac:dyDescent="0.2">
      <c r="A110" s="43">
        <v>45657</v>
      </c>
      <c r="B110" s="44">
        <v>45581658.079999998</v>
      </c>
      <c r="C110" s="44"/>
      <c r="D110" s="44">
        <f t="shared" si="16"/>
        <v>45581658.079999998</v>
      </c>
      <c r="E110" s="44"/>
      <c r="F110" s="44"/>
      <c r="G110" s="139">
        <f t="shared" si="21"/>
        <v>45581658.079999998</v>
      </c>
      <c r="H110" s="44">
        <v>524.1</v>
      </c>
      <c r="I110" s="44">
        <v>0</v>
      </c>
      <c r="J110" s="44">
        <v>31</v>
      </c>
      <c r="K110" s="142">
        <v>0</v>
      </c>
      <c r="L110" s="44">
        <v>30915.090307488292</v>
      </c>
      <c r="M110" s="44">
        <v>0</v>
      </c>
      <c r="N110" s="44">
        <v>28118731</v>
      </c>
      <c r="O110" s="44">
        <v>0</v>
      </c>
      <c r="P110" s="44">
        <f t="shared" si="22"/>
        <v>46244512.429943576</v>
      </c>
      <c r="Q110" s="29">
        <f t="shared" si="23"/>
        <v>662854.34994357824</v>
      </c>
      <c r="R110" s="37">
        <f t="shared" si="24"/>
        <v>1.4542128958543104E-2</v>
      </c>
      <c r="S110" s="120">
        <f t="shared" si="17"/>
        <v>1.4542128958543104E-2</v>
      </c>
      <c r="T110" s="121">
        <f>Q110*Q110</f>
        <v>439375889239.12366</v>
      </c>
      <c r="U110" s="121">
        <f>Q110-Q109</f>
        <v>-753988.08906271309</v>
      </c>
      <c r="V110" s="121">
        <f>U110*U110</f>
        <v>568498038448.44177</v>
      </c>
      <c r="W110"/>
    </row>
    <row r="111" spans="1:23" x14ac:dyDescent="0.2">
      <c r="A111" s="43">
        <v>45688</v>
      </c>
      <c r="B111" s="139">
        <v>49861734.450000003</v>
      </c>
      <c r="C111" s="44"/>
      <c r="D111" s="44">
        <f t="shared" si="16"/>
        <v>49861734.450000003</v>
      </c>
      <c r="E111" s="44"/>
      <c r="F111" s="44"/>
      <c r="G111" s="139">
        <f t="shared" si="21"/>
        <v>49861734.450000003</v>
      </c>
      <c r="H111" s="44">
        <v>592.9</v>
      </c>
      <c r="I111" s="44">
        <v>0</v>
      </c>
      <c r="J111" s="87">
        <v>31</v>
      </c>
      <c r="K111" s="142">
        <v>0</v>
      </c>
      <c r="L111" s="139">
        <v>30932.420798959836</v>
      </c>
      <c r="M111" s="139">
        <f>M99</f>
        <v>0</v>
      </c>
      <c r="N111" s="44">
        <f>N99*(1+N$149)</f>
        <v>29645415.52</v>
      </c>
      <c r="O111" s="44">
        <v>0</v>
      </c>
      <c r="P111" s="44">
        <f t="shared" si="22"/>
        <v>47549704.978409797</v>
      </c>
      <c r="Q111" s="29">
        <f t="shared" si="23"/>
        <v>-2312029.471590206</v>
      </c>
      <c r="R111" s="37">
        <f t="shared" si="24"/>
        <v>-4.6368813622170456E-2</v>
      </c>
      <c r="S111" s="120">
        <f>ABS(R111)</f>
        <v>4.6368813622170456E-2</v>
      </c>
      <c r="T111" s="121">
        <f t="shared" ref="T111:T121" si="25">Q111*Q111</f>
        <v>5345480277501.6875</v>
      </c>
      <c r="U111" s="121">
        <f t="shared" ref="U111:U121" si="26">Q111-Q110</f>
        <v>-2974883.8215337843</v>
      </c>
      <c r="V111" s="121">
        <f t="shared" ref="V111:V121" si="27">U111*U111</f>
        <v>8849933751623.4531</v>
      </c>
      <c r="W111"/>
    </row>
    <row r="112" spans="1:23" x14ac:dyDescent="0.2">
      <c r="A112" s="43">
        <v>45716</v>
      </c>
      <c r="B112" s="139">
        <v>44457972.25</v>
      </c>
      <c r="C112" s="44"/>
      <c r="D112" s="44">
        <f t="shared" si="16"/>
        <v>44457972.25</v>
      </c>
      <c r="E112" s="44"/>
      <c r="F112" s="44"/>
      <c r="G112" s="139">
        <f t="shared" si="21"/>
        <v>44457972.25</v>
      </c>
      <c r="H112" s="44">
        <v>523.9</v>
      </c>
      <c r="I112" s="44">
        <v>0</v>
      </c>
      <c r="J112" s="87">
        <v>28</v>
      </c>
      <c r="K112" s="142">
        <v>0</v>
      </c>
      <c r="L112" s="139">
        <v>30949.762250952175</v>
      </c>
      <c r="M112" s="139">
        <f t="shared" ref="M112:M146" si="28">M100</f>
        <v>0</v>
      </c>
      <c r="N112" s="44">
        <f>N100*(1+N$149)</f>
        <v>29527184.399999999</v>
      </c>
      <c r="O112" s="44">
        <v>0</v>
      </c>
      <c r="P112" s="44">
        <f t="shared" si="22"/>
        <v>43893685.518784568</v>
      </c>
      <c r="Q112" s="29">
        <f t="shared" si="23"/>
        <v>-564286.73121543229</v>
      </c>
      <c r="R112" s="37">
        <f t="shared" si="24"/>
        <v>-1.2692588137899885E-2</v>
      </c>
      <c r="S112" s="120">
        <f t="shared" si="17"/>
        <v>1.2692588137899885E-2</v>
      </c>
      <c r="T112" s="121">
        <f t="shared" si="25"/>
        <v>318419515025.79755</v>
      </c>
      <c r="U112" s="121">
        <f t="shared" si="26"/>
        <v>1747742.7403747737</v>
      </c>
      <c r="V112" s="121">
        <f t="shared" si="27"/>
        <v>3054604686532.7236</v>
      </c>
      <c r="W112"/>
    </row>
    <row r="113" spans="1:23" x14ac:dyDescent="0.2">
      <c r="A113" s="43">
        <v>45747</v>
      </c>
      <c r="B113" s="139">
        <v>43417367.900000006</v>
      </c>
      <c r="C113" s="44"/>
      <c r="D113" s="44">
        <f t="shared" si="16"/>
        <v>43417367.900000006</v>
      </c>
      <c r="E113" s="44"/>
      <c r="F113" s="44"/>
      <c r="G113" s="139">
        <f t="shared" si="21"/>
        <v>43417367.900000006</v>
      </c>
      <c r="H113" s="44">
        <v>351.9</v>
      </c>
      <c r="I113" s="44">
        <v>0</v>
      </c>
      <c r="J113" s="87">
        <v>31</v>
      </c>
      <c r="K113" s="142">
        <v>1</v>
      </c>
      <c r="L113" s="139">
        <v>30967.114668180362</v>
      </c>
      <c r="M113" s="139">
        <f t="shared" si="28"/>
        <v>0</v>
      </c>
      <c r="N113" s="44">
        <f t="shared" ref="N113:N121" si="29">N101*(1+N$149)</f>
        <v>30785356.419999998</v>
      </c>
      <c r="O113" s="44">
        <v>0</v>
      </c>
      <c r="P113" s="44">
        <f t="shared" si="22"/>
        <v>41670324.933930531</v>
      </c>
      <c r="Q113" s="29">
        <f t="shared" si="23"/>
        <v>-1747042.9660694748</v>
      </c>
      <c r="R113" s="37">
        <f t="shared" si="24"/>
        <v>-4.0238343560883488E-2</v>
      </c>
      <c r="S113" s="120">
        <f t="shared" si="17"/>
        <v>4.0238343560883488E-2</v>
      </c>
      <c r="T113" s="121">
        <f t="shared" si="25"/>
        <v>3052159125292.8281</v>
      </c>
      <c r="U113" s="121">
        <f t="shared" si="26"/>
        <v>-1182756.2348540425</v>
      </c>
      <c r="V113" s="121">
        <f t="shared" si="27"/>
        <v>1398912311086.1111</v>
      </c>
      <c r="W113"/>
    </row>
    <row r="114" spans="1:23" x14ac:dyDescent="0.2">
      <c r="A114" s="43">
        <v>45777</v>
      </c>
      <c r="B114" s="139">
        <v>38426118.68</v>
      </c>
      <c r="C114" s="44"/>
      <c r="D114" s="44">
        <f t="shared" si="16"/>
        <v>38426118.68</v>
      </c>
      <c r="E114" s="44"/>
      <c r="F114" s="44"/>
      <c r="G114" s="139">
        <f t="shared" si="21"/>
        <v>38426118.68</v>
      </c>
      <c r="H114" s="44">
        <v>287.10000000000002</v>
      </c>
      <c r="I114" s="44">
        <v>0</v>
      </c>
      <c r="J114" s="87">
        <v>30</v>
      </c>
      <c r="K114" s="142">
        <v>1</v>
      </c>
      <c r="L114" s="139">
        <v>30984.478055365253</v>
      </c>
      <c r="M114" s="139">
        <f t="shared" si="28"/>
        <v>0</v>
      </c>
      <c r="N114" s="44">
        <f>N102*(1+N$149)</f>
        <v>31249150.239999998</v>
      </c>
      <c r="O114" s="44">
        <v>0</v>
      </c>
      <c r="P114" s="44">
        <f t="shared" si="22"/>
        <v>39982503.68204993</v>
      </c>
      <c r="Q114" s="29">
        <f t="shared" si="23"/>
        <v>1556385.0020499304</v>
      </c>
      <c r="R114" s="37">
        <f t="shared" si="24"/>
        <v>4.0503310131605789E-2</v>
      </c>
      <c r="S114" s="120">
        <f t="shared" si="17"/>
        <v>4.0503310131605789E-2</v>
      </c>
      <c r="T114" s="121">
        <f t="shared" si="25"/>
        <v>2422334274605.9619</v>
      </c>
      <c r="U114" s="121">
        <f t="shared" si="26"/>
        <v>3303427.9681194052</v>
      </c>
      <c r="V114" s="121">
        <f t="shared" si="27"/>
        <v>10912636340553.502</v>
      </c>
      <c r="W114"/>
    </row>
    <row r="115" spans="1:23" x14ac:dyDescent="0.2">
      <c r="A115" s="43">
        <v>45808</v>
      </c>
      <c r="B115" s="44">
        <v>37464105.689999998</v>
      </c>
      <c r="C115" s="44"/>
      <c r="D115" s="44">
        <f t="shared" si="16"/>
        <v>37464105.689999998</v>
      </c>
      <c r="E115" s="44"/>
      <c r="F115" s="44"/>
      <c r="G115" s="44">
        <f t="shared" si="21"/>
        <v>37464105.689999998</v>
      </c>
      <c r="H115" s="44">
        <v>138.19999999999999</v>
      </c>
      <c r="I115" s="44">
        <v>4.0999999999999996</v>
      </c>
      <c r="J115" s="87">
        <v>31</v>
      </c>
      <c r="K115" s="142">
        <v>1</v>
      </c>
      <c r="L115" s="139">
        <v>31001.852417233538</v>
      </c>
      <c r="M115" s="139">
        <f t="shared" si="28"/>
        <v>0</v>
      </c>
      <c r="N115" s="44">
        <f>N103*(1+N$149)</f>
        <v>32641680.259999998</v>
      </c>
      <c r="O115" s="44">
        <v>0</v>
      </c>
      <c r="P115" s="44">
        <f t="shared" si="22"/>
        <v>39363855.116046786</v>
      </c>
      <c r="Q115" s="29">
        <f t="shared" si="23"/>
        <v>1899749.4260467887</v>
      </c>
      <c r="R115" s="37">
        <f t="shared" si="24"/>
        <v>5.0708521958763159E-2</v>
      </c>
      <c r="S115" s="120">
        <f t="shared" si="17"/>
        <v>5.0708521958763159E-2</v>
      </c>
      <c r="T115" s="121">
        <f t="shared" si="25"/>
        <v>3609047881765.103</v>
      </c>
      <c r="U115" s="121">
        <f t="shared" si="26"/>
        <v>343364.4239968583</v>
      </c>
      <c r="V115" s="121">
        <f t="shared" si="27"/>
        <v>117899127666.69427</v>
      </c>
      <c r="W115"/>
    </row>
    <row r="116" spans="1:23" x14ac:dyDescent="0.2">
      <c r="A116" s="43">
        <v>45838</v>
      </c>
      <c r="B116" s="44">
        <v>43100272.859999999</v>
      </c>
      <c r="C116" s="44"/>
      <c r="D116" s="44">
        <f t="shared" si="16"/>
        <v>43100272.859999999</v>
      </c>
      <c r="E116" s="44"/>
      <c r="F116" s="44"/>
      <c r="G116" s="44">
        <f t="shared" si="21"/>
        <v>43100272.859999999</v>
      </c>
      <c r="H116" s="44">
        <v>11.7</v>
      </c>
      <c r="I116" s="44">
        <v>73.8</v>
      </c>
      <c r="J116" s="140">
        <v>30</v>
      </c>
      <c r="K116" s="142">
        <v>0</v>
      </c>
      <c r="L116" s="139">
        <v>31019.23775851772</v>
      </c>
      <c r="M116" s="139">
        <f t="shared" si="28"/>
        <v>0</v>
      </c>
      <c r="N116" s="44">
        <f>N104*(1+N$149)</f>
        <v>30520466.34</v>
      </c>
      <c r="O116" s="44">
        <v>0</v>
      </c>
      <c r="P116" s="44">
        <f t="shared" si="22"/>
        <v>43519184.168452874</v>
      </c>
      <c r="Q116" s="29">
        <f t="shared" si="23"/>
        <v>418911.30845287442</v>
      </c>
      <c r="R116" s="37">
        <f t="shared" si="24"/>
        <v>9.7194583851846744E-3</v>
      </c>
      <c r="S116" s="120">
        <f t="shared" si="17"/>
        <v>9.7194583851846744E-3</v>
      </c>
      <c r="T116" s="121">
        <f t="shared" si="25"/>
        <v>175486684349.69931</v>
      </c>
      <c r="U116" s="121">
        <f t="shared" si="26"/>
        <v>-1480838.1175939143</v>
      </c>
      <c r="V116" s="121">
        <f t="shared" si="27"/>
        <v>2192881530519.0874</v>
      </c>
      <c r="W116"/>
    </row>
    <row r="117" spans="1:23" x14ac:dyDescent="0.2">
      <c r="A117" s="43">
        <v>45869</v>
      </c>
      <c r="B117" s="44">
        <v>54807097.660000004</v>
      </c>
      <c r="C117" s="44"/>
      <c r="D117" s="44">
        <f t="shared" si="16"/>
        <v>54807097.660000004</v>
      </c>
      <c r="E117" s="44"/>
      <c r="F117" s="44"/>
      <c r="G117" s="44">
        <f t="shared" si="21"/>
        <v>54807097.660000004</v>
      </c>
      <c r="H117" s="44">
        <v>0</v>
      </c>
      <c r="I117" s="44">
        <v>143.19999999999999</v>
      </c>
      <c r="J117" s="87">
        <v>31</v>
      </c>
      <c r="K117" s="142">
        <v>0</v>
      </c>
      <c r="L117" s="139">
        <v>31036.634083956113</v>
      </c>
      <c r="M117" s="139">
        <f t="shared" si="28"/>
        <v>1</v>
      </c>
      <c r="N117" s="44">
        <f t="shared" si="29"/>
        <v>29344521.219999999</v>
      </c>
      <c r="O117" s="44">
        <v>0</v>
      </c>
      <c r="P117" s="44">
        <f t="shared" si="22"/>
        <v>51777415.61698436</v>
      </c>
      <c r="Q117" s="29">
        <f t="shared" si="23"/>
        <v>-3029682.043015644</v>
      </c>
      <c r="R117" s="37">
        <f t="shared" si="24"/>
        <v>-5.5279008967241923E-2</v>
      </c>
      <c r="S117" s="120">
        <f t="shared" si="17"/>
        <v>5.5279008967241923E-2</v>
      </c>
      <c r="T117" s="121">
        <f t="shared" si="25"/>
        <v>9178973281771.4453</v>
      </c>
      <c r="U117" s="121">
        <f t="shared" si="26"/>
        <v>-3448593.3514685184</v>
      </c>
      <c r="V117" s="121">
        <f t="shared" si="27"/>
        <v>11892796103792.867</v>
      </c>
      <c r="W117"/>
    </row>
    <row r="118" spans="1:23" x14ac:dyDescent="0.2">
      <c r="A118" s="43">
        <v>45900</v>
      </c>
      <c r="B118" s="44">
        <v>48442483.889999963</v>
      </c>
      <c r="C118" s="44"/>
      <c r="D118" s="44">
        <f t="shared" si="16"/>
        <v>48442483.889999963</v>
      </c>
      <c r="E118" s="44"/>
      <c r="F118" s="44"/>
      <c r="G118" s="44">
        <f t="shared" si="21"/>
        <v>48442483.889999963</v>
      </c>
      <c r="H118" s="44">
        <v>16.3</v>
      </c>
      <c r="I118" s="44">
        <v>79.5</v>
      </c>
      <c r="J118" s="87">
        <v>31</v>
      </c>
      <c r="K118" s="142">
        <v>0</v>
      </c>
      <c r="L118" s="139">
        <v>31054.041398292837</v>
      </c>
      <c r="M118" s="139">
        <f t="shared" si="28"/>
        <v>1</v>
      </c>
      <c r="N118" s="44">
        <f t="shared" si="29"/>
        <v>30380139.16</v>
      </c>
      <c r="O118" s="44">
        <v>0</v>
      </c>
      <c r="P118" s="44">
        <f t="shared" si="22"/>
        <v>48136975.61574427</v>
      </c>
      <c r="Q118" s="29">
        <f t="shared" si="23"/>
        <v>-305508.27425569296</v>
      </c>
      <c r="R118" s="37">
        <f t="shared" si="24"/>
        <v>-6.3066186892773964E-3</v>
      </c>
      <c r="S118" s="120">
        <f t="shared" si="17"/>
        <v>6.3066186892773964E-3</v>
      </c>
      <c r="T118" s="121">
        <f t="shared" si="25"/>
        <v>93335305638.691711</v>
      </c>
      <c r="U118" s="121">
        <f t="shared" si="26"/>
        <v>2724173.768759951</v>
      </c>
      <c r="V118" s="121">
        <f t="shared" si="27"/>
        <v>7421122722399.7949</v>
      </c>
      <c r="W118"/>
    </row>
    <row r="119" spans="1:23" x14ac:dyDescent="0.2">
      <c r="A119" s="43">
        <v>45930</v>
      </c>
      <c r="B119" s="44">
        <v>39207170.690000005</v>
      </c>
      <c r="C119" s="44"/>
      <c r="D119" s="44">
        <f t="shared" si="16"/>
        <v>39207170.690000005</v>
      </c>
      <c r="E119" s="44"/>
      <c r="F119" s="44"/>
      <c r="G119" s="44">
        <f t="shared" si="21"/>
        <v>39207170.690000005</v>
      </c>
      <c r="H119" s="44">
        <v>8.1999999999999993</v>
      </c>
      <c r="I119" s="44">
        <v>31.4</v>
      </c>
      <c r="J119" s="87">
        <v>30</v>
      </c>
      <c r="K119" s="142">
        <v>1</v>
      </c>
      <c r="L119" s="139">
        <v>31071.459706277827</v>
      </c>
      <c r="M119" s="139">
        <f t="shared" si="28"/>
        <v>0</v>
      </c>
      <c r="N119" s="44">
        <f t="shared" si="29"/>
        <v>30360457.82</v>
      </c>
      <c r="O119" s="44">
        <v>0</v>
      </c>
      <c r="P119" s="44">
        <f t="shared" si="22"/>
        <v>37970695.07500948</v>
      </c>
      <c r="Q119" s="29">
        <f t="shared" si="23"/>
        <v>-1236475.6149905249</v>
      </c>
      <c r="R119" s="37">
        <f t="shared" si="24"/>
        <v>-3.1536976354835378E-2</v>
      </c>
      <c r="S119" s="120">
        <f t="shared" si="17"/>
        <v>3.1536976354835378E-2</v>
      </c>
      <c r="T119" s="121">
        <f t="shared" si="25"/>
        <v>1528871946466.1968</v>
      </c>
      <c r="U119" s="121">
        <f t="shared" si="26"/>
        <v>-930967.34073483199</v>
      </c>
      <c r="V119" s="121">
        <f t="shared" si="27"/>
        <v>866700189514.88477</v>
      </c>
      <c r="W119"/>
    </row>
    <row r="120" spans="1:23" x14ac:dyDescent="0.2">
      <c r="A120" s="43">
        <v>45961</v>
      </c>
      <c r="B120" s="44">
        <v>38537676.210000001</v>
      </c>
      <c r="C120" s="44"/>
      <c r="D120" s="44">
        <f t="shared" si="16"/>
        <v>38537676.210000001</v>
      </c>
      <c r="E120" s="44"/>
      <c r="F120" s="44"/>
      <c r="G120" s="44">
        <f t="shared" si="21"/>
        <v>38537676.210000001</v>
      </c>
      <c r="H120" s="44">
        <v>140.80000000000001</v>
      </c>
      <c r="I120" s="44">
        <v>9.9</v>
      </c>
      <c r="J120" s="87">
        <v>31</v>
      </c>
      <c r="K120" s="142">
        <v>1</v>
      </c>
      <c r="L120" s="139">
        <v>31088.889012666823</v>
      </c>
      <c r="M120" s="139">
        <f t="shared" si="28"/>
        <v>0</v>
      </c>
      <c r="N120" s="44">
        <f t="shared" si="29"/>
        <v>31338278.300000001</v>
      </c>
      <c r="O120" s="44">
        <v>0</v>
      </c>
      <c r="P120" s="44">
        <f t="shared" si="22"/>
        <v>39559184.910721757</v>
      </c>
      <c r="Q120" s="29">
        <f t="shared" si="23"/>
        <v>1021508.7007217556</v>
      </c>
      <c r="R120" s="37">
        <f t="shared" si="24"/>
        <v>2.650675394010104E-2</v>
      </c>
      <c r="S120" s="120">
        <f t="shared" si="17"/>
        <v>2.650675394010104E-2</v>
      </c>
      <c r="T120" s="121">
        <f t="shared" si="25"/>
        <v>1043480025650.2493</v>
      </c>
      <c r="U120" s="121">
        <f t="shared" si="26"/>
        <v>2257984.3157122806</v>
      </c>
      <c r="V120" s="121">
        <f t="shared" si="27"/>
        <v>5098493170002.6563</v>
      </c>
      <c r="W120"/>
    </row>
    <row r="121" spans="1:23" x14ac:dyDescent="0.2">
      <c r="A121" s="43">
        <v>45991</v>
      </c>
      <c r="B121" s="44">
        <v>41368175.939999998</v>
      </c>
      <c r="C121" s="44"/>
      <c r="D121" s="44">
        <f t="shared" si="16"/>
        <v>41368175.939999998</v>
      </c>
      <c r="E121" s="44"/>
      <c r="F121" s="44"/>
      <c r="G121" s="44">
        <f t="shared" si="21"/>
        <v>41368175.939999998</v>
      </c>
      <c r="H121" s="44">
        <v>331.2</v>
      </c>
      <c r="I121" s="44">
        <v>0</v>
      </c>
      <c r="J121" s="87">
        <v>30</v>
      </c>
      <c r="K121" s="142">
        <v>1</v>
      </c>
      <c r="L121" s="139">
        <v>31106.329322221369</v>
      </c>
      <c r="M121" s="139">
        <f t="shared" si="28"/>
        <v>0</v>
      </c>
      <c r="N121" s="44">
        <f t="shared" si="29"/>
        <v>30856336.84</v>
      </c>
      <c r="O121" s="44">
        <v>0</v>
      </c>
      <c r="P121" s="44">
        <f t="shared" si="22"/>
        <v>40607425.865420163</v>
      </c>
      <c r="Q121" s="29">
        <f t="shared" si="23"/>
        <v>-760750.07457983494</v>
      </c>
      <c r="R121" s="37">
        <f t="shared" si="24"/>
        <v>-1.838974180740334E-2</v>
      </c>
      <c r="S121" s="120">
        <f t="shared" si="17"/>
        <v>1.838974180740334E-2</v>
      </c>
      <c r="T121" s="121">
        <f t="shared" si="25"/>
        <v>578740675973.22437</v>
      </c>
      <c r="U121" s="121">
        <f t="shared" si="26"/>
        <v>-1782258.7753015906</v>
      </c>
      <c r="V121" s="121">
        <f t="shared" si="27"/>
        <v>3176446342139.5254</v>
      </c>
      <c r="W121"/>
    </row>
    <row r="122" spans="1:23" x14ac:dyDescent="0.2">
      <c r="A122" s="43">
        <v>46022</v>
      </c>
      <c r="B122" s="44">
        <v>48355956.890000001</v>
      </c>
      <c r="C122" s="44"/>
      <c r="D122" s="44">
        <f t="shared" si="16"/>
        <v>48355956.890000001</v>
      </c>
      <c r="E122" s="44"/>
      <c r="F122" s="44"/>
      <c r="G122" s="44">
        <f t="shared" si="21"/>
        <v>48355956.890000001</v>
      </c>
      <c r="H122" s="44">
        <v>512.5</v>
      </c>
      <c r="I122" s="44">
        <v>0</v>
      </c>
      <c r="J122" s="87">
        <v>31</v>
      </c>
      <c r="K122" s="142">
        <v>0</v>
      </c>
      <c r="L122" s="139">
        <v>31123.780639708813</v>
      </c>
      <c r="M122" s="139">
        <f t="shared" si="28"/>
        <v>0</v>
      </c>
      <c r="N122" s="44">
        <f>N110*(1+N$149)</f>
        <v>27556356.379999999</v>
      </c>
      <c r="O122" s="44">
        <v>0</v>
      </c>
      <c r="P122" s="44">
        <f t="shared" si="22"/>
        <v>46117266.495289162</v>
      </c>
      <c r="Q122" s="29">
        <f t="shared" si="23"/>
        <v>-2238690.3947108388</v>
      </c>
      <c r="R122" s="37">
        <f t="shared" si="24"/>
        <v>-4.6296062340435234E-2</v>
      </c>
      <c r="S122" s="120">
        <f>ABS(R122)</f>
        <v>4.6296062340435234E-2</v>
      </c>
      <c r="T122" s="121">
        <f>Q122*Q122</f>
        <v>5011734683370.5713</v>
      </c>
      <c r="U122" s="121">
        <f>Q122-Q121</f>
        <v>-1477940.3201310039</v>
      </c>
      <c r="V122" s="121">
        <f>U122*U122</f>
        <v>2184307589868.9341</v>
      </c>
      <c r="W122"/>
    </row>
    <row r="123" spans="1:23" x14ac:dyDescent="0.2">
      <c r="A123" s="43">
        <v>46053</v>
      </c>
      <c r="B123" s="44"/>
      <c r="C123" s="44"/>
      <c r="D123" s="44"/>
      <c r="E123" s="44"/>
      <c r="F123" s="44"/>
      <c r="G123" s="44"/>
      <c r="H123" s="51">
        <f>AVERAGE(H3,H15,H27,H39,H51,H63,H75,H87,H99,H111)</f>
        <v>492.16999999999996</v>
      </c>
      <c r="I123" s="51">
        <f>AVERAGE(I3,I15,I27,I39,I51,I63,I75,I87,I99,I111)</f>
        <v>0</v>
      </c>
      <c r="J123" s="87">
        <v>31</v>
      </c>
      <c r="K123" s="142">
        <v>0</v>
      </c>
      <c r="L123" s="146" cm="1">
        <f t="array" ref="L123:L134">'Rate Class Customer Model'!P12:P23</f>
        <v>31150.957952263096</v>
      </c>
      <c r="M123" s="146">
        <f>M111</f>
        <v>0</v>
      </c>
      <c r="N123" s="44">
        <f t="shared" ref="N123:N146" si="30">N111*(1+N$149)</f>
        <v>29052507.209599998</v>
      </c>
      <c r="O123" s="44">
        <v>0</v>
      </c>
      <c r="P123" s="44">
        <f t="shared" si="22"/>
        <v>46173978.626270078</v>
      </c>
      <c r="Q123" s="29">
        <f t="shared" si="23"/>
        <v>46173978.626270078</v>
      </c>
      <c r="R123"/>
      <c r="S123" s="5">
        <f>AVERAGE(S3:S122)</f>
        <v>3.1811635288221285E-2</v>
      </c>
      <c r="T123" s="121">
        <f>SUM(T3:T122)</f>
        <v>316379131036415.19</v>
      </c>
      <c r="U123" s="121"/>
      <c r="V123" s="121">
        <f>SUM(V4:V122)</f>
        <v>544278010343251.56</v>
      </c>
      <c r="W123"/>
    </row>
    <row r="124" spans="1:23" ht="12.6" customHeight="1" x14ac:dyDescent="0.2">
      <c r="A124" s="43">
        <v>46081</v>
      </c>
      <c r="B124" s="44"/>
      <c r="C124" s="44"/>
      <c r="D124" s="44"/>
      <c r="E124" s="44"/>
      <c r="F124" s="44"/>
      <c r="G124" s="44"/>
      <c r="H124" s="51">
        <f t="shared" ref="H124:I124" si="31">AVERAGE(H4,H16,H28,H40,H52,H64,H76,H88,H100,H112)</f>
        <v>420.35999999999996</v>
      </c>
      <c r="I124" s="51">
        <f t="shared" si="31"/>
        <v>0</v>
      </c>
      <c r="J124" s="44">
        <v>28</v>
      </c>
      <c r="K124" s="142">
        <v>0</v>
      </c>
      <c r="L124" s="146">
        <v>31178.158996070539</v>
      </c>
      <c r="M124" s="146">
        <f t="shared" si="28"/>
        <v>0</v>
      </c>
      <c r="N124" s="44">
        <f t="shared" si="30"/>
        <v>28936640.711999997</v>
      </c>
      <c r="O124" s="44">
        <v>0</v>
      </c>
      <c r="P124" s="44">
        <f t="shared" si="22"/>
        <v>42486457.029602177</v>
      </c>
      <c r="Q124" s="29">
        <f t="shared" si="23"/>
        <v>42486457.029602177</v>
      </c>
      <c r="R124"/>
      <c r="S124"/>
      <c r="T124" s="121"/>
      <c r="U124" s="121"/>
      <c r="V124" s="121"/>
      <c r="W124"/>
    </row>
    <row r="125" spans="1:23" x14ac:dyDescent="0.2">
      <c r="A125" s="43">
        <v>46112</v>
      </c>
      <c r="B125" s="44"/>
      <c r="C125" s="44"/>
      <c r="D125" s="44"/>
      <c r="E125" s="44"/>
      <c r="F125" s="44"/>
      <c r="G125" s="44"/>
      <c r="H125" s="51">
        <f t="shared" ref="H125:I125" si="32">AVERAGE(H5,H17,H29,H41,H53,H65,H77,H89,H101,H113)</f>
        <v>361.91</v>
      </c>
      <c r="I125" s="51">
        <f t="shared" si="32"/>
        <v>0</v>
      </c>
      <c r="J125" s="87">
        <v>31</v>
      </c>
      <c r="K125" s="142">
        <v>1</v>
      </c>
      <c r="L125" s="146">
        <v>31205.383791853295</v>
      </c>
      <c r="M125" s="146">
        <f t="shared" si="28"/>
        <v>0</v>
      </c>
      <c r="N125" s="44">
        <f t="shared" si="30"/>
        <v>30169649.291599996</v>
      </c>
      <c r="O125" s="44">
        <v>0</v>
      </c>
      <c r="P125" s="44">
        <f t="shared" si="22"/>
        <v>41856649.778667457</v>
      </c>
      <c r="Q125" s="29">
        <f t="shared" si="23"/>
        <v>41856649.778667457</v>
      </c>
      <c r="R125"/>
      <c r="S125"/>
      <c r="T125" s="121"/>
      <c r="U125" s="121"/>
      <c r="V125" s="121"/>
      <c r="W125"/>
    </row>
    <row r="126" spans="1:23" x14ac:dyDescent="0.2">
      <c r="A126" s="43">
        <v>46142</v>
      </c>
      <c r="B126" s="44"/>
      <c r="C126" s="44"/>
      <c r="D126" s="44"/>
      <c r="E126" s="44"/>
      <c r="F126" s="44"/>
      <c r="G126" s="44"/>
      <c r="H126" s="51">
        <f t="shared" ref="H126:I126" si="33">AVERAGE(H6,H18,H30,H42,H54,H66,H78,H90,H102,H114)</f>
        <v>249.59</v>
      </c>
      <c r="I126" s="51">
        <f t="shared" si="33"/>
        <v>0.2</v>
      </c>
      <c r="J126" s="87">
        <v>30</v>
      </c>
      <c r="K126" s="142">
        <v>1</v>
      </c>
      <c r="L126" s="146">
        <v>31232.632360351607</v>
      </c>
      <c r="M126" s="146">
        <f t="shared" si="28"/>
        <v>0</v>
      </c>
      <c r="N126" s="44">
        <f t="shared" si="30"/>
        <v>30624167.235199999</v>
      </c>
      <c r="O126" s="44">
        <v>0</v>
      </c>
      <c r="P126" s="44">
        <f t="shared" si="22"/>
        <v>39521054.91361364</v>
      </c>
      <c r="Q126" s="29">
        <f t="shared" si="23"/>
        <v>39521054.91361364</v>
      </c>
      <c r="R126"/>
      <c r="S126"/>
      <c r="T126" s="121"/>
      <c r="U126" s="121"/>
      <c r="V126" s="121"/>
      <c r="W126"/>
    </row>
    <row r="127" spans="1:23" x14ac:dyDescent="0.2">
      <c r="A127" s="43">
        <v>46173</v>
      </c>
      <c r="B127" s="44"/>
      <c r="C127" s="44"/>
      <c r="D127" s="44"/>
      <c r="E127" s="44"/>
      <c r="F127" s="44"/>
      <c r="G127" s="44"/>
      <c r="H127" s="51">
        <f t="shared" ref="H127:I127" si="34">AVERAGE(H7,H19,H31,H43,H55,H67,H79,H91,H103,H115)</f>
        <v>107.23999999999998</v>
      </c>
      <c r="I127" s="51">
        <f t="shared" si="34"/>
        <v>12.239999999999998</v>
      </c>
      <c r="J127" s="87">
        <v>31</v>
      </c>
      <c r="K127" s="142">
        <v>1</v>
      </c>
      <c r="L127" s="146">
        <v>31259.904722323834</v>
      </c>
      <c r="M127" s="146">
        <f t="shared" si="28"/>
        <v>0</v>
      </c>
      <c r="N127" s="44">
        <f t="shared" si="30"/>
        <v>31988846.654799998</v>
      </c>
      <c r="O127" s="44">
        <v>0</v>
      </c>
      <c r="P127" s="44">
        <f t="shared" si="22"/>
        <v>39507232.558380686</v>
      </c>
      <c r="Q127" s="29">
        <f t="shared" si="23"/>
        <v>39507232.558380686</v>
      </c>
      <c r="R127"/>
      <c r="S127"/>
      <c r="T127" s="121"/>
      <c r="U127" s="121"/>
      <c r="V127" s="121"/>
      <c r="W127"/>
    </row>
    <row r="128" spans="1:23" x14ac:dyDescent="0.2">
      <c r="A128" s="43">
        <v>46203</v>
      </c>
      <c r="B128" s="44"/>
      <c r="C128" s="44"/>
      <c r="D128" s="44"/>
      <c r="E128" s="44"/>
      <c r="F128" s="44"/>
      <c r="G128" s="44"/>
      <c r="H128" s="51">
        <f t="shared" ref="H128:I128" si="35">AVERAGE(H8,H20,H32,H44,H56,H68,H80,H92,H104,H116)</f>
        <v>16.089999999999996</v>
      </c>
      <c r="I128" s="51">
        <f t="shared" si="35"/>
        <v>52.410000000000004</v>
      </c>
      <c r="J128" s="140">
        <v>30</v>
      </c>
      <c r="K128" s="142">
        <v>0</v>
      </c>
      <c r="L128" s="146">
        <v>31287.200898546456</v>
      </c>
      <c r="M128" s="146">
        <f t="shared" si="28"/>
        <v>0</v>
      </c>
      <c r="N128" s="44">
        <f t="shared" si="30"/>
        <v>29910057.0132</v>
      </c>
      <c r="O128" s="44">
        <v>0</v>
      </c>
      <c r="P128" s="44">
        <f t="shared" si="22"/>
        <v>42271876.284375817</v>
      </c>
      <c r="Q128" s="29">
        <f t="shared" si="23"/>
        <v>42271876.284375817</v>
      </c>
      <c r="R128"/>
      <c r="S128"/>
      <c r="T128" s="121"/>
      <c r="U128" s="121"/>
      <c r="V128" s="121"/>
      <c r="W128"/>
    </row>
    <row r="129" spans="1:23" x14ac:dyDescent="0.2">
      <c r="A129" s="43">
        <v>46234</v>
      </c>
      <c r="B129" s="44"/>
      <c r="C129" s="44"/>
      <c r="D129" s="44"/>
      <c r="E129" s="44"/>
      <c r="F129" s="44"/>
      <c r="G129" s="44"/>
      <c r="H129" s="51">
        <f t="shared" ref="H129:I129" si="36">AVERAGE(H9,H21,H33,H45,H57,H69,H81,H93,H105,H117)</f>
        <v>0.65</v>
      </c>
      <c r="I129" s="51">
        <f t="shared" si="36"/>
        <v>112.46</v>
      </c>
      <c r="J129" s="87">
        <v>31</v>
      </c>
      <c r="K129" s="142">
        <v>0</v>
      </c>
      <c r="L129" s="146">
        <v>31314.520909814099</v>
      </c>
      <c r="M129" s="146">
        <f t="shared" si="28"/>
        <v>1</v>
      </c>
      <c r="N129" s="44">
        <f t="shared" si="30"/>
        <v>28757630.795599997</v>
      </c>
      <c r="O129" s="44">
        <v>0</v>
      </c>
      <c r="P129" s="44">
        <f t="shared" si="22"/>
        <v>49887716.893669017</v>
      </c>
      <c r="Q129" s="29">
        <f t="shared" si="23"/>
        <v>49887716.893669017</v>
      </c>
      <c r="R129"/>
      <c r="S129"/>
      <c r="T129" s="121"/>
      <c r="U129" s="121"/>
      <c r="V129" s="121"/>
      <c r="W129"/>
    </row>
    <row r="130" spans="1:23" x14ac:dyDescent="0.2">
      <c r="A130" s="43">
        <v>46265</v>
      </c>
      <c r="B130" s="44"/>
      <c r="C130" s="44"/>
      <c r="D130" s="44"/>
      <c r="E130" s="44"/>
      <c r="F130" s="44"/>
      <c r="G130" s="44"/>
      <c r="H130" s="51">
        <f t="shared" ref="H130:I130" si="37">AVERAGE(H10,H22,H34,H46,H58,H70,H82,H94,H106,H118)</f>
        <v>3.2599999999999993</v>
      </c>
      <c r="I130" s="51">
        <f t="shared" si="37"/>
        <v>112.46</v>
      </c>
      <c r="J130" s="87">
        <v>31</v>
      </c>
      <c r="K130" s="142">
        <v>0</v>
      </c>
      <c r="L130" s="146">
        <v>31341.864776939543</v>
      </c>
      <c r="M130" s="146">
        <f t="shared" si="28"/>
        <v>1</v>
      </c>
      <c r="N130" s="44">
        <f t="shared" si="30"/>
        <v>29772536.376800001</v>
      </c>
      <c r="O130" s="44">
        <v>0</v>
      </c>
      <c r="P130" s="44">
        <f t="shared" si="22"/>
        <v>50162732.635352992</v>
      </c>
      <c r="Q130" s="29">
        <f t="shared" si="23"/>
        <v>50162732.635352992</v>
      </c>
      <c r="R130"/>
      <c r="S130"/>
      <c r="T130" s="121"/>
      <c r="U130" s="121"/>
      <c r="V130" s="121"/>
      <c r="W130"/>
    </row>
    <row r="131" spans="1:23" x14ac:dyDescent="0.2">
      <c r="A131" s="43">
        <v>46295</v>
      </c>
      <c r="B131" s="44"/>
      <c r="C131" s="44"/>
      <c r="D131" s="44"/>
      <c r="E131" s="44"/>
      <c r="F131" s="44"/>
      <c r="G131" s="44"/>
      <c r="H131" s="51">
        <f t="shared" ref="H131:I131" si="38">AVERAGE(H11,H23,H35,H47,H59,H71,H83,H95,H107,H119)</f>
        <v>28.679999999999996</v>
      </c>
      <c r="I131" s="51">
        <f t="shared" si="38"/>
        <v>44.01</v>
      </c>
      <c r="J131" s="87">
        <v>30</v>
      </c>
      <c r="K131" s="142">
        <v>1</v>
      </c>
      <c r="L131" s="146">
        <v>31369.232520753743</v>
      </c>
      <c r="M131" s="146">
        <f t="shared" si="28"/>
        <v>0</v>
      </c>
      <c r="N131" s="44">
        <f t="shared" si="30"/>
        <v>29753248.663600001</v>
      </c>
      <c r="O131" s="44">
        <v>0</v>
      </c>
      <c r="P131" s="44">
        <f t="shared" ref="P131:P146" si="39">$Y$30+$Y$31*H131+$Y$32*I131+$Y$33*J131+$Y$34*K131+$Y$35*L131+$Y$36*M131+$Y$37*N131</f>
        <v>39162609.549969666</v>
      </c>
      <c r="Q131" s="29">
        <f t="shared" ref="Q131:Q146" si="40">P131-G131</f>
        <v>39162609.549969666</v>
      </c>
      <c r="R131"/>
      <c r="S131"/>
      <c r="T131" s="121"/>
      <c r="U131" s="121"/>
      <c r="V131" s="121"/>
      <c r="W131"/>
    </row>
    <row r="132" spans="1:23" x14ac:dyDescent="0.2">
      <c r="A132" s="43">
        <v>46326</v>
      </c>
      <c r="B132" s="44"/>
      <c r="C132" s="44"/>
      <c r="D132" s="44"/>
      <c r="E132" s="44"/>
      <c r="F132" s="44"/>
      <c r="G132" s="44"/>
      <c r="H132" s="51">
        <f t="shared" ref="H132:I132" si="41">AVERAGE(H12,H24,H36,H48,H60,H72,H84,H96,H108,H120)</f>
        <v>141.75</v>
      </c>
      <c r="I132" s="51">
        <f t="shared" si="41"/>
        <v>6.5299999999999994</v>
      </c>
      <c r="J132" s="87">
        <v>31</v>
      </c>
      <c r="K132" s="142">
        <v>1</v>
      </c>
      <c r="L132" s="146">
        <v>31396.624162105851</v>
      </c>
      <c r="M132" s="146">
        <f t="shared" si="28"/>
        <v>0</v>
      </c>
      <c r="N132" s="44">
        <f t="shared" si="30"/>
        <v>30711512.734000001</v>
      </c>
      <c r="O132" s="44">
        <v>0</v>
      </c>
      <c r="P132" s="44">
        <f t="shared" si="39"/>
        <v>39450977.609279849</v>
      </c>
      <c r="Q132" s="29">
        <f t="shared" si="40"/>
        <v>39450977.609279849</v>
      </c>
      <c r="R132"/>
      <c r="S132"/>
      <c r="T132" s="121"/>
      <c r="U132" s="121"/>
      <c r="V132" s="121"/>
      <c r="W132"/>
    </row>
    <row r="133" spans="1:23" x14ac:dyDescent="0.2">
      <c r="A133" s="43">
        <v>46356</v>
      </c>
      <c r="B133" s="44"/>
      <c r="C133" s="44"/>
      <c r="D133" s="44"/>
      <c r="E133" s="44"/>
      <c r="F133" s="44"/>
      <c r="G133" s="44"/>
      <c r="H133" s="51">
        <f t="shared" ref="H133:I133" si="42">AVERAGE(H13,H25,H37,H49,H61,H73,H85,H97,H109,H121)</f>
        <v>304.77999999999992</v>
      </c>
      <c r="I133" s="51">
        <f t="shared" si="42"/>
        <v>0.1</v>
      </c>
      <c r="J133" s="87">
        <v>30</v>
      </c>
      <c r="K133" s="142">
        <v>1</v>
      </c>
      <c r="L133" s="146">
        <v>31424.03972186321</v>
      </c>
      <c r="M133" s="146">
        <f t="shared" si="28"/>
        <v>0</v>
      </c>
      <c r="N133" s="44">
        <f t="shared" si="30"/>
        <v>30239210.1032</v>
      </c>
      <c r="O133" s="44">
        <v>0</v>
      </c>
      <c r="P133" s="44">
        <f t="shared" si="39"/>
        <v>40348701.47870867</v>
      </c>
      <c r="Q133" s="29">
        <f t="shared" si="40"/>
        <v>40348701.47870867</v>
      </c>
      <c r="T133" s="121"/>
      <c r="U133" s="121"/>
      <c r="V133" s="121"/>
      <c r="W133"/>
    </row>
    <row r="134" spans="1:23" x14ac:dyDescent="0.2">
      <c r="A134" s="43">
        <v>46387</v>
      </c>
      <c r="B134" s="44"/>
      <c r="C134" s="44"/>
      <c r="D134" s="44"/>
      <c r="E134" s="44"/>
      <c r="F134" s="44"/>
      <c r="G134" s="44"/>
      <c r="H134" s="51">
        <f>AVERAGE(H14,H26,H38,H50,H62,H74,H86,H98,H110,H122)</f>
        <v>460.06000000000006</v>
      </c>
      <c r="I134" s="51">
        <f t="shared" ref="I134" si="43">AVERAGE(I14,I26,I38,I50,I62,I74,I86,I98,I110,I122)</f>
        <v>0</v>
      </c>
      <c r="J134" s="87">
        <v>31</v>
      </c>
      <c r="K134" s="142">
        <v>0</v>
      </c>
      <c r="L134" s="146">
        <v>31451.479220911398</v>
      </c>
      <c r="M134" s="146">
        <f t="shared" si="28"/>
        <v>0</v>
      </c>
      <c r="N134" s="44">
        <f t="shared" si="30"/>
        <v>27005229.2524</v>
      </c>
      <c r="O134" s="44">
        <v>0</v>
      </c>
      <c r="P134" s="44">
        <f t="shared" si="39"/>
        <v>45509037.458839364</v>
      </c>
      <c r="Q134" s="29">
        <f t="shared" si="40"/>
        <v>45509037.458839364</v>
      </c>
      <c r="T134" s="121"/>
      <c r="U134" s="121"/>
      <c r="V134" s="121"/>
      <c r="W134"/>
    </row>
    <row r="135" spans="1:23" x14ac:dyDescent="0.2">
      <c r="A135" s="43">
        <v>46418</v>
      </c>
      <c r="B135" s="44"/>
      <c r="C135" s="44"/>
      <c r="D135" s="44"/>
      <c r="E135" s="44"/>
      <c r="F135" s="44"/>
      <c r="G135" s="44"/>
      <c r="H135" s="51">
        <f>H123</f>
        <v>492.16999999999996</v>
      </c>
      <c r="I135" s="51">
        <f>I123</f>
        <v>0</v>
      </c>
      <c r="J135" s="87">
        <v>31</v>
      </c>
      <c r="K135" s="142">
        <v>0</v>
      </c>
      <c r="L135" s="146" cm="1">
        <f t="array" ref="L135:L146">'Rate Class Customer Model'!Q12:Q23</f>
        <v>31470.593604052097</v>
      </c>
      <c r="M135" s="146">
        <f t="shared" si="28"/>
        <v>0</v>
      </c>
      <c r="N135" s="44">
        <f t="shared" si="30"/>
        <v>28471457.065407999</v>
      </c>
      <c r="O135" s="44">
        <v>0</v>
      </c>
      <c r="P135" s="44">
        <f t="shared" si="39"/>
        <v>46288315.203536421</v>
      </c>
      <c r="Q135" s="29">
        <f t="shared" si="40"/>
        <v>46288315.203536421</v>
      </c>
      <c r="T135" s="121"/>
      <c r="U135" s="121"/>
      <c r="V135" s="121"/>
      <c r="W135"/>
    </row>
    <row r="136" spans="1:23" x14ac:dyDescent="0.2">
      <c r="A136" s="43">
        <v>46446</v>
      </c>
      <c r="B136" s="44"/>
      <c r="C136" s="44"/>
      <c r="D136" s="44"/>
      <c r="E136" s="44"/>
      <c r="F136" s="44"/>
      <c r="G136" s="44"/>
      <c r="H136" s="51">
        <f t="shared" ref="H136:I146" si="44">H124</f>
        <v>420.35999999999996</v>
      </c>
      <c r="I136" s="51">
        <f t="shared" si="44"/>
        <v>0</v>
      </c>
      <c r="J136" s="44">
        <v>28</v>
      </c>
      <c r="K136" s="142">
        <v>0</v>
      </c>
      <c r="L136" s="146">
        <v>31489.719603805173</v>
      </c>
      <c r="M136" s="146">
        <f t="shared" si="28"/>
        <v>0</v>
      </c>
      <c r="N136" s="44">
        <f t="shared" si="30"/>
        <v>28357907.897759996</v>
      </c>
      <c r="O136" s="44">
        <v>0</v>
      </c>
      <c r="P136" s="44">
        <f t="shared" si="39"/>
        <v>42595250.070181265</v>
      </c>
      <c r="Q136" s="29">
        <f t="shared" si="40"/>
        <v>42595250.070181265</v>
      </c>
      <c r="T136" s="121"/>
      <c r="U136" s="121"/>
      <c r="V136" s="121"/>
      <c r="W136"/>
    </row>
    <row r="137" spans="1:23" x14ac:dyDescent="0.2">
      <c r="A137" s="43">
        <v>46477</v>
      </c>
      <c r="B137" s="44"/>
      <c r="C137" s="44"/>
      <c r="D137" s="44"/>
      <c r="E137" s="44"/>
      <c r="F137" s="44"/>
      <c r="G137" s="44"/>
      <c r="H137" s="51">
        <f t="shared" si="44"/>
        <v>361.91</v>
      </c>
      <c r="I137" s="51">
        <f t="shared" si="44"/>
        <v>0</v>
      </c>
      <c r="J137" s="87">
        <v>31</v>
      </c>
      <c r="K137" s="142">
        <v>1</v>
      </c>
      <c r="L137" s="146">
        <v>31508.857227230532</v>
      </c>
      <c r="M137" s="146">
        <f t="shared" si="28"/>
        <v>0</v>
      </c>
      <c r="N137" s="44">
        <f t="shared" si="30"/>
        <v>29566256.305767994</v>
      </c>
      <c r="O137" s="44">
        <v>0</v>
      </c>
      <c r="P137" s="44">
        <f t="shared" si="39"/>
        <v>41954096.131768629</v>
      </c>
      <c r="Q137" s="29">
        <f t="shared" si="40"/>
        <v>41954096.131768629</v>
      </c>
      <c r="T137" s="121"/>
      <c r="U137" s="121"/>
      <c r="V137" s="121"/>
      <c r="W137"/>
    </row>
    <row r="138" spans="1:23" x14ac:dyDescent="0.2">
      <c r="A138" s="43">
        <v>46507</v>
      </c>
      <c r="B138" s="44"/>
      <c r="C138" s="44"/>
      <c r="D138" s="44"/>
      <c r="E138" s="44"/>
      <c r="F138" s="44"/>
      <c r="G138" s="44"/>
      <c r="H138" s="51">
        <f t="shared" si="44"/>
        <v>249.59</v>
      </c>
      <c r="I138" s="51">
        <f t="shared" si="44"/>
        <v>0.2</v>
      </c>
      <c r="J138" s="87">
        <v>30</v>
      </c>
      <c r="K138" s="142">
        <v>1</v>
      </c>
      <c r="L138" s="146">
        <v>31528.006481392367</v>
      </c>
      <c r="M138" s="146">
        <f t="shared" si="28"/>
        <v>0</v>
      </c>
      <c r="N138" s="44">
        <f t="shared" si="30"/>
        <v>30011683.890495997</v>
      </c>
      <c r="O138" s="44">
        <v>0</v>
      </c>
      <c r="P138" s="44">
        <f t="shared" si="39"/>
        <v>39610489.492816791</v>
      </c>
      <c r="Q138" s="29">
        <f t="shared" si="40"/>
        <v>39610489.492816791</v>
      </c>
      <c r="T138" s="121"/>
      <c r="U138" s="121"/>
      <c r="V138" s="121"/>
      <c r="W138"/>
    </row>
    <row r="139" spans="1:23" x14ac:dyDescent="0.2">
      <c r="A139" s="43">
        <v>46538</v>
      </c>
      <c r="B139" s="44"/>
      <c r="C139" s="44"/>
      <c r="D139" s="44"/>
      <c r="E139" s="44"/>
      <c r="F139" s="44"/>
      <c r="G139" s="44"/>
      <c r="H139" s="51">
        <f t="shared" si="44"/>
        <v>107.23999999999998</v>
      </c>
      <c r="I139" s="51">
        <f t="shared" si="44"/>
        <v>12.239999999999998</v>
      </c>
      <c r="J139" s="87">
        <v>31</v>
      </c>
      <c r="K139" s="142">
        <v>1</v>
      </c>
      <c r="L139" s="146">
        <v>31547.167373359163</v>
      </c>
      <c r="M139" s="146">
        <f t="shared" si="28"/>
        <v>0</v>
      </c>
      <c r="N139" s="44">
        <f t="shared" si="30"/>
        <v>31349069.721703999</v>
      </c>
      <c r="O139" s="44">
        <v>0</v>
      </c>
      <c r="P139" s="44">
        <f t="shared" si="39"/>
        <v>39584736.681577392</v>
      </c>
      <c r="Q139" s="29">
        <f t="shared" si="40"/>
        <v>39584736.681577392</v>
      </c>
      <c r="T139" s="121"/>
      <c r="U139" s="121"/>
      <c r="V139" s="121"/>
      <c r="W139"/>
    </row>
    <row r="140" spans="1:23" x14ac:dyDescent="0.2">
      <c r="A140" s="43">
        <v>46568</v>
      </c>
      <c r="B140" s="44"/>
      <c r="C140" s="44"/>
      <c r="D140" s="44"/>
      <c r="E140" s="44"/>
      <c r="F140" s="44"/>
      <c r="G140" s="44"/>
      <c r="H140" s="51">
        <f t="shared" si="44"/>
        <v>16.089999999999996</v>
      </c>
      <c r="I140" s="51">
        <f t="shared" si="44"/>
        <v>52.410000000000004</v>
      </c>
      <c r="J140" s="140">
        <v>30</v>
      </c>
      <c r="K140" s="142">
        <v>0</v>
      </c>
      <c r="L140" s="146">
        <v>31566.3399102037</v>
      </c>
      <c r="M140" s="146">
        <f t="shared" si="28"/>
        <v>0</v>
      </c>
      <c r="N140" s="44">
        <f t="shared" si="30"/>
        <v>29311855.872935999</v>
      </c>
      <c r="O140" s="44">
        <v>0</v>
      </c>
      <c r="P140" s="44">
        <f t="shared" si="39"/>
        <v>42352232.228386313</v>
      </c>
      <c r="Q140" s="29">
        <f t="shared" si="40"/>
        <v>42352232.228386313</v>
      </c>
      <c r="T140" s="121"/>
      <c r="U140" s="121"/>
      <c r="V140" s="121"/>
      <c r="W140"/>
    </row>
    <row r="141" spans="1:23" x14ac:dyDescent="0.2">
      <c r="A141" s="43">
        <v>46599</v>
      </c>
      <c r="B141" s="44"/>
      <c r="C141" s="44"/>
      <c r="D141" s="44"/>
      <c r="E141" s="44"/>
      <c r="F141" s="44"/>
      <c r="G141" s="44"/>
      <c r="H141" s="51">
        <f t="shared" si="44"/>
        <v>0.65</v>
      </c>
      <c r="I141" s="51">
        <f t="shared" si="44"/>
        <v>112.46</v>
      </c>
      <c r="J141" s="87">
        <v>31</v>
      </c>
      <c r="K141" s="142">
        <v>0</v>
      </c>
      <c r="L141" s="146">
        <v>31585.524099003062</v>
      </c>
      <c r="M141" s="146">
        <f t="shared" si="28"/>
        <v>1</v>
      </c>
      <c r="N141" s="44">
        <f t="shared" si="30"/>
        <v>28182478.179687995</v>
      </c>
      <c r="O141" s="44">
        <v>0</v>
      </c>
      <c r="P141" s="44">
        <f t="shared" si="39"/>
        <v>49966936.360591412</v>
      </c>
      <c r="Q141" s="29">
        <f t="shared" si="40"/>
        <v>49966936.360591412</v>
      </c>
      <c r="T141" s="121"/>
      <c r="U141" s="121"/>
      <c r="V141" s="121"/>
      <c r="W141"/>
    </row>
    <row r="142" spans="1:23" x14ac:dyDescent="0.2">
      <c r="A142" s="43">
        <v>46630</v>
      </c>
      <c r="B142" s="44"/>
      <c r="C142" s="44"/>
      <c r="D142" s="44"/>
      <c r="E142" s="44"/>
      <c r="F142" s="44"/>
      <c r="G142" s="44"/>
      <c r="H142" s="51">
        <f t="shared" si="44"/>
        <v>3.2599999999999993</v>
      </c>
      <c r="I142" s="51">
        <f t="shared" si="44"/>
        <v>112.46</v>
      </c>
      <c r="J142" s="87">
        <v>31</v>
      </c>
      <c r="K142" s="142">
        <v>0</v>
      </c>
      <c r="L142" s="146">
        <v>31604.719946838628</v>
      </c>
      <c r="M142" s="146">
        <f t="shared" si="28"/>
        <v>1</v>
      </c>
      <c r="N142" s="44">
        <f t="shared" si="30"/>
        <v>29177085.649264</v>
      </c>
      <c r="O142" s="44">
        <v>0</v>
      </c>
      <c r="P142" s="44">
        <f t="shared" si="39"/>
        <v>50231496.75183624</v>
      </c>
      <c r="Q142" s="29">
        <f t="shared" si="40"/>
        <v>50231496.75183624</v>
      </c>
      <c r="T142" s="121"/>
      <c r="U142" s="121"/>
      <c r="V142" s="121"/>
      <c r="W142"/>
    </row>
    <row r="143" spans="1:23" x14ac:dyDescent="0.2">
      <c r="A143" s="43">
        <v>46660</v>
      </c>
      <c r="B143" s="44"/>
      <c r="C143" s="44"/>
      <c r="D143" s="44"/>
      <c r="E143" s="44"/>
      <c r="F143" s="44"/>
      <c r="G143" s="44"/>
      <c r="H143" s="51">
        <f t="shared" si="44"/>
        <v>28.679999999999996</v>
      </c>
      <c r="I143" s="51">
        <f t="shared" si="44"/>
        <v>44.01</v>
      </c>
      <c r="J143" s="87">
        <v>30</v>
      </c>
      <c r="K143" s="142">
        <v>1</v>
      </c>
      <c r="L143" s="146">
        <v>31623.927460796087</v>
      </c>
      <c r="M143" s="146">
        <f t="shared" si="28"/>
        <v>0</v>
      </c>
      <c r="N143" s="44">
        <f t="shared" si="30"/>
        <v>29158183.690328002</v>
      </c>
      <c r="O143" s="44">
        <v>0</v>
      </c>
      <c r="P143" s="44">
        <f t="shared" si="39"/>
        <v>39225351.546066597</v>
      </c>
      <c r="Q143" s="29">
        <f t="shared" si="40"/>
        <v>39225351.546066597</v>
      </c>
      <c r="T143" s="121"/>
      <c r="U143" s="121"/>
      <c r="V143" s="121"/>
      <c r="W143"/>
    </row>
    <row r="144" spans="1:23" x14ac:dyDescent="0.2">
      <c r="A144" s="43">
        <v>46691</v>
      </c>
      <c r="B144" s="44"/>
      <c r="C144" s="44"/>
      <c r="D144" s="44"/>
      <c r="E144" s="44"/>
      <c r="F144" s="44"/>
      <c r="G144" s="44"/>
      <c r="H144" s="51">
        <f t="shared" si="44"/>
        <v>141.75</v>
      </c>
      <c r="I144" s="51">
        <f t="shared" si="44"/>
        <v>6.5299999999999994</v>
      </c>
      <c r="J144" s="87">
        <v>31</v>
      </c>
      <c r="K144" s="142">
        <v>1</v>
      </c>
      <c r="L144" s="146">
        <v>31643.146647965426</v>
      </c>
      <c r="M144" s="146">
        <f t="shared" si="28"/>
        <v>0</v>
      </c>
      <c r="N144" s="44">
        <f t="shared" si="30"/>
        <v>30097282.479320001</v>
      </c>
      <c r="O144" s="44">
        <v>0</v>
      </c>
      <c r="P144" s="44">
        <f t="shared" si="39"/>
        <v>39503489.27723705</v>
      </c>
      <c r="Q144" s="29">
        <f t="shared" si="40"/>
        <v>39503489.27723705</v>
      </c>
      <c r="T144" s="121"/>
      <c r="U144" s="121"/>
      <c r="V144" s="121"/>
      <c r="W144"/>
    </row>
    <row r="145" spans="1:23" x14ac:dyDescent="0.2">
      <c r="A145" s="43">
        <v>46721</v>
      </c>
      <c r="B145" s="44"/>
      <c r="C145" s="44"/>
      <c r="D145" s="44"/>
      <c r="E145" s="44"/>
      <c r="F145" s="44"/>
      <c r="G145" s="44"/>
      <c r="H145" s="51">
        <f t="shared" si="44"/>
        <v>304.77999999999992</v>
      </c>
      <c r="I145" s="51">
        <f t="shared" si="44"/>
        <v>0.1</v>
      </c>
      <c r="J145" s="87">
        <v>30</v>
      </c>
      <c r="K145" s="142">
        <v>1</v>
      </c>
      <c r="L145" s="146">
        <v>31662.377515440949</v>
      </c>
      <c r="M145" s="146">
        <f t="shared" si="28"/>
        <v>0</v>
      </c>
      <c r="N145" s="44">
        <f t="shared" si="30"/>
        <v>29634425.901136</v>
      </c>
      <c r="O145" s="44">
        <v>0</v>
      </c>
      <c r="P145" s="44">
        <f t="shared" si="39"/>
        <v>40397118.64532575</v>
      </c>
      <c r="Q145" s="29">
        <f t="shared" si="40"/>
        <v>40397118.64532575</v>
      </c>
      <c r="T145" s="121"/>
      <c r="U145" s="121"/>
      <c r="V145" s="121"/>
      <c r="W145"/>
    </row>
    <row r="146" spans="1:23" x14ac:dyDescent="0.2">
      <c r="A146" s="43">
        <v>46752</v>
      </c>
      <c r="B146" s="44"/>
      <c r="C146" s="44"/>
      <c r="D146" s="44"/>
      <c r="E146" s="44"/>
      <c r="F146" s="44"/>
      <c r="G146" s="44"/>
      <c r="H146" s="51">
        <f t="shared" si="44"/>
        <v>460.06000000000006</v>
      </c>
      <c r="I146" s="51">
        <f t="shared" si="44"/>
        <v>0</v>
      </c>
      <c r="J146" s="87">
        <v>31</v>
      </c>
      <c r="K146" s="142">
        <v>0</v>
      </c>
      <c r="L146" s="146">
        <v>31681.620070321267</v>
      </c>
      <c r="M146" s="146">
        <f t="shared" si="28"/>
        <v>0</v>
      </c>
      <c r="N146" s="44">
        <f t="shared" si="30"/>
        <v>26465124.667351998</v>
      </c>
      <c r="O146" s="44">
        <v>0</v>
      </c>
      <c r="P146" s="44">
        <f t="shared" si="39"/>
        <v>45565213.714600965</v>
      </c>
      <c r="Q146" s="29">
        <f t="shared" si="40"/>
        <v>45565213.714600965</v>
      </c>
      <c r="T146" s="121"/>
      <c r="U146" s="121"/>
      <c r="V146" s="121"/>
      <c r="W146"/>
    </row>
    <row r="147" spans="1:23" x14ac:dyDescent="0.2">
      <c r="A147" s="30"/>
      <c r="K147" s="53"/>
    </row>
    <row r="148" spans="1:23" x14ac:dyDescent="0.2">
      <c r="A148" s="30"/>
      <c r="K148" s="53"/>
      <c r="V148" s="195" t="s">
        <v>107</v>
      </c>
    </row>
    <row r="149" spans="1:23" ht="12.6" customHeight="1" x14ac:dyDescent="0.2">
      <c r="A149" s="30"/>
      <c r="H149" s="91" t="s">
        <v>142</v>
      </c>
      <c r="I149" s="89"/>
      <c r="J149" s="89"/>
      <c r="K149" s="53"/>
      <c r="M149" s="101" t="s">
        <v>145</v>
      </c>
      <c r="N149" s="166">
        <v>-0.02</v>
      </c>
      <c r="O149" s="166"/>
      <c r="V149" s="195"/>
    </row>
    <row r="150" spans="1:23" x14ac:dyDescent="0.2">
      <c r="A150" s="30"/>
      <c r="H150" s="92" t="s">
        <v>63</v>
      </c>
      <c r="I150" s="90"/>
      <c r="J150" s="90"/>
      <c r="K150" s="53"/>
      <c r="M150" s="101" t="s">
        <v>146</v>
      </c>
      <c r="N150" s="166">
        <v>-0.02</v>
      </c>
      <c r="O150" s="166"/>
      <c r="Q150" s="29">
        <f>SUM(P3:P146)</f>
        <v>6012790118.1822538</v>
      </c>
      <c r="V150" s="195"/>
    </row>
    <row r="151" spans="1:23" x14ac:dyDescent="0.2">
      <c r="A151" s="30"/>
      <c r="K151" s="53"/>
      <c r="M151" s="48" t="s">
        <v>147</v>
      </c>
      <c r="N151" s="166">
        <v>-0.02</v>
      </c>
      <c r="O151" s="166"/>
      <c r="R151" s="48" t="s">
        <v>100</v>
      </c>
      <c r="S151" s="48" t="s">
        <v>101</v>
      </c>
      <c r="T151" s="48" t="s">
        <v>106</v>
      </c>
      <c r="U151" s="48" t="s">
        <v>80</v>
      </c>
      <c r="V151" s="195"/>
    </row>
    <row r="152" spans="1:23" x14ac:dyDescent="0.2">
      <c r="A152" s="24">
        <v>2016</v>
      </c>
      <c r="B152" s="6">
        <f>SUM(B3:B14)</f>
        <v>488555532.25999981</v>
      </c>
      <c r="D152" s="6">
        <f t="shared" ref="D152:G152" si="45">SUM(D3:D14)</f>
        <v>488555532.25999981</v>
      </c>
      <c r="E152" s="6">
        <f t="shared" si="45"/>
        <v>0</v>
      </c>
      <c r="F152" s="6">
        <f t="shared" si="45"/>
        <v>0</v>
      </c>
      <c r="G152" s="6">
        <f t="shared" si="45"/>
        <v>488555532.25999981</v>
      </c>
      <c r="H152" s="6"/>
      <c r="I152" s="6"/>
      <c r="J152" s="6"/>
      <c r="K152" s="6"/>
      <c r="L152" s="6"/>
      <c r="M152" s="6"/>
      <c r="N152" s="6"/>
      <c r="O152" s="6"/>
      <c r="P152" s="6"/>
      <c r="Q152" s="6">
        <f>SUM(P3:P14)</f>
        <v>477698237.8472172</v>
      </c>
      <c r="R152" s="6">
        <f t="shared" ref="R152:R163" si="46">E152</f>
        <v>0</v>
      </c>
      <c r="S152" s="6">
        <f t="shared" ref="S152:S163" si="47">F152</f>
        <v>0</v>
      </c>
      <c r="T152" s="6">
        <f>Q152+R152+S152</f>
        <v>477698237.8472172</v>
      </c>
      <c r="U152" s="55" cm="1">
        <f t="array" ref="U152:U163">'Power Purchased Model (WN)'!S152:S163</f>
        <v>481363844.56955183</v>
      </c>
      <c r="V152" s="5">
        <f>U152/T152</f>
        <v>1.0076734775888099</v>
      </c>
      <c r="W152" s="6"/>
    </row>
    <row r="153" spans="1:23" x14ac:dyDescent="0.2">
      <c r="A153" s="24">
        <v>2017</v>
      </c>
      <c r="B153" s="6">
        <f>SUM(B15:B26)</f>
        <v>476330269.50999999</v>
      </c>
      <c r="D153" s="6">
        <f t="shared" ref="D153:G153" si="48">SUM(D15:D26)</f>
        <v>476330269.50999999</v>
      </c>
      <c r="E153" s="6">
        <f t="shared" si="48"/>
        <v>0</v>
      </c>
      <c r="F153" s="6">
        <f t="shared" si="48"/>
        <v>0</v>
      </c>
      <c r="G153" s="6">
        <f t="shared" si="48"/>
        <v>476330269.50999999</v>
      </c>
      <c r="H153" s="6"/>
      <c r="I153" s="6"/>
      <c r="J153" s="6"/>
      <c r="K153" s="6"/>
      <c r="L153" s="6"/>
      <c r="M153" s="6"/>
      <c r="N153" s="6"/>
      <c r="O153" s="6"/>
      <c r="P153" s="6"/>
      <c r="Q153" s="6">
        <f>SUM(P15:P26)</f>
        <v>477365337.37385362</v>
      </c>
      <c r="R153" s="6">
        <f t="shared" si="46"/>
        <v>0</v>
      </c>
      <c r="S153" s="6">
        <f t="shared" si="47"/>
        <v>0</v>
      </c>
      <c r="T153" s="6">
        <f>Q153+R153+S153</f>
        <v>477365337.37385362</v>
      </c>
      <c r="U153" s="55">
        <v>482704688.45498258</v>
      </c>
      <c r="V153" s="5">
        <f t="shared" ref="V153:V163" si="49">U153/T153</f>
        <v>1.0111850414412209</v>
      </c>
      <c r="W153" s="6"/>
    </row>
    <row r="154" spans="1:23" x14ac:dyDescent="0.2">
      <c r="A154" s="24">
        <v>2018</v>
      </c>
      <c r="B154" s="6">
        <f>SUM(B27:B38)</f>
        <v>499580482.79999995</v>
      </c>
      <c r="D154" s="6">
        <f t="shared" ref="D154:G154" si="50">SUM(D27:D38)</f>
        <v>499580482.79999995</v>
      </c>
      <c r="E154" s="6">
        <f t="shared" si="50"/>
        <v>0</v>
      </c>
      <c r="F154" s="6">
        <f t="shared" si="50"/>
        <v>0</v>
      </c>
      <c r="G154" s="6">
        <f t="shared" si="50"/>
        <v>499580482.79999995</v>
      </c>
      <c r="H154" s="6"/>
      <c r="I154" s="6"/>
      <c r="J154" s="6"/>
      <c r="K154" s="6"/>
      <c r="L154" s="6"/>
      <c r="M154" s="6"/>
      <c r="N154" s="6"/>
      <c r="O154" s="6"/>
      <c r="P154" s="6"/>
      <c r="Q154" s="6">
        <f>SUM(P27:P38)</f>
        <v>494995328.74702567</v>
      </c>
      <c r="R154" s="6">
        <f t="shared" si="46"/>
        <v>0</v>
      </c>
      <c r="S154" s="6">
        <f t="shared" si="47"/>
        <v>0</v>
      </c>
      <c r="T154" s="6">
        <f t="shared" ref="T154:T163" si="51">Q154+R154+S154</f>
        <v>494995328.74702567</v>
      </c>
      <c r="U154" s="55">
        <v>487934641.89490724</v>
      </c>
      <c r="V154" s="5">
        <f t="shared" si="49"/>
        <v>0.98573585154835497</v>
      </c>
      <c r="W154" s="6"/>
    </row>
    <row r="155" spans="1:23" x14ac:dyDescent="0.2">
      <c r="A155" s="24">
        <v>2019</v>
      </c>
      <c r="B155" s="6">
        <f>SUM(B39:B50)</f>
        <v>489885593.67000008</v>
      </c>
      <c r="D155" s="6">
        <f t="shared" ref="D155:G155" si="52">SUM(D39:D50)</f>
        <v>489885593.67000008</v>
      </c>
      <c r="E155" s="6">
        <f t="shared" si="52"/>
        <v>0</v>
      </c>
      <c r="F155" s="6">
        <f t="shared" si="52"/>
        <v>0</v>
      </c>
      <c r="G155" s="6">
        <f t="shared" si="52"/>
        <v>489885593.67000008</v>
      </c>
      <c r="H155" s="6"/>
      <c r="I155" s="6"/>
      <c r="J155" s="6"/>
      <c r="K155" s="6"/>
      <c r="L155" s="6"/>
      <c r="M155" s="6"/>
      <c r="N155" s="6"/>
      <c r="O155" s="6"/>
      <c r="P155" s="6"/>
      <c r="Q155" s="6">
        <f>SUM(P39:P50)</f>
        <v>500781454.6900506</v>
      </c>
      <c r="R155" s="6">
        <f t="shared" si="46"/>
        <v>0</v>
      </c>
      <c r="S155" s="6">
        <f t="shared" si="47"/>
        <v>0</v>
      </c>
      <c r="T155" s="6">
        <f t="shared" si="51"/>
        <v>500781454.6900506</v>
      </c>
      <c r="U155" s="55">
        <v>490235827.99307746</v>
      </c>
      <c r="V155" s="5">
        <f t="shared" si="49"/>
        <v>0.9789416588849118</v>
      </c>
      <c r="W155" s="6"/>
    </row>
    <row r="156" spans="1:23" x14ac:dyDescent="0.2">
      <c r="A156" s="24">
        <v>2020</v>
      </c>
      <c r="B156" s="6">
        <f>SUM(B51:B62)</f>
        <v>482685186</v>
      </c>
      <c r="D156" s="6">
        <f t="shared" ref="D156:G156" si="53">SUM(D51:D62)</f>
        <v>482685186</v>
      </c>
      <c r="E156" s="6">
        <f t="shared" si="53"/>
        <v>0</v>
      </c>
      <c r="F156" s="6">
        <f t="shared" si="53"/>
        <v>0</v>
      </c>
      <c r="G156" s="6">
        <f t="shared" si="53"/>
        <v>482685186</v>
      </c>
      <c r="H156" s="6"/>
      <c r="I156" s="6"/>
      <c r="J156" s="6"/>
      <c r="K156" s="6"/>
      <c r="L156" s="6"/>
      <c r="M156" s="6"/>
      <c r="N156" s="6"/>
      <c r="O156" s="6"/>
      <c r="P156" s="6"/>
      <c r="Q156" s="6">
        <f>SUM(P51:P62)</f>
        <v>491698954.50097716</v>
      </c>
      <c r="R156" s="6">
        <f t="shared" si="46"/>
        <v>0</v>
      </c>
      <c r="S156" s="6">
        <f t="shared" si="47"/>
        <v>0</v>
      </c>
      <c r="T156" s="6">
        <f t="shared" si="51"/>
        <v>491698954.50097716</v>
      </c>
      <c r="U156" s="55">
        <v>485032916.00263208</v>
      </c>
      <c r="V156" s="5">
        <f t="shared" si="49"/>
        <v>0.98644284589722098</v>
      </c>
      <c r="W156" s="6"/>
    </row>
    <row r="157" spans="1:23" x14ac:dyDescent="0.2">
      <c r="A157" s="24">
        <v>2021</v>
      </c>
      <c r="B157" s="6">
        <f>SUM(B63:B74)</f>
        <v>491981128.84560001</v>
      </c>
      <c r="D157" s="6">
        <f t="shared" ref="D157:G157" si="54">SUM(D63:D74)</f>
        <v>491981128.84560001</v>
      </c>
      <c r="E157" s="6">
        <f t="shared" si="54"/>
        <v>0</v>
      </c>
      <c r="F157" s="6">
        <f t="shared" si="54"/>
        <v>0</v>
      </c>
      <c r="G157" s="6">
        <f t="shared" si="54"/>
        <v>491981128.84560001</v>
      </c>
      <c r="H157" s="6"/>
      <c r="I157" s="6"/>
      <c r="J157" s="6"/>
      <c r="K157" s="6"/>
      <c r="L157" s="6"/>
      <c r="M157" s="6"/>
      <c r="N157" s="6"/>
      <c r="O157" s="6"/>
      <c r="P157" s="6"/>
      <c r="Q157" s="6">
        <f>SUM(P63:P74)</f>
        <v>500574908.50121129</v>
      </c>
      <c r="R157" s="6">
        <f t="shared" si="46"/>
        <v>0</v>
      </c>
      <c r="S157" s="6">
        <f t="shared" si="47"/>
        <v>0</v>
      </c>
      <c r="T157" s="6">
        <f t="shared" si="51"/>
        <v>500574908.50121129</v>
      </c>
      <c r="U157" s="55">
        <v>494001058.20590556</v>
      </c>
      <c r="V157" s="5">
        <f t="shared" si="49"/>
        <v>0.98686739949673319</v>
      </c>
      <c r="W157" s="6"/>
    </row>
    <row r="158" spans="1:23" x14ac:dyDescent="0.2">
      <c r="A158" s="24">
        <v>2022</v>
      </c>
      <c r="B158" s="6">
        <f>SUM(B75:B86)</f>
        <v>509139278.70600003</v>
      </c>
      <c r="D158" s="6">
        <f t="shared" ref="D158:G158" si="55">SUM(D75:D86)</f>
        <v>509139278.70600003</v>
      </c>
      <c r="E158" s="6">
        <f t="shared" si="55"/>
        <v>0</v>
      </c>
      <c r="F158" s="6">
        <f t="shared" si="55"/>
        <v>0</v>
      </c>
      <c r="G158" s="6">
        <f t="shared" si="55"/>
        <v>509139278.70600003</v>
      </c>
      <c r="H158" s="6"/>
      <c r="I158" s="6"/>
      <c r="J158" s="6"/>
      <c r="K158" s="6"/>
      <c r="L158" s="6"/>
      <c r="M158" s="6"/>
      <c r="N158" s="6"/>
      <c r="O158" s="6"/>
      <c r="P158" s="6"/>
      <c r="Q158" s="6">
        <f>SUM(P75:P86)</f>
        <v>498699112.38918728</v>
      </c>
      <c r="R158" s="6">
        <f t="shared" si="46"/>
        <v>0</v>
      </c>
      <c r="S158" s="6">
        <f t="shared" si="47"/>
        <v>0</v>
      </c>
      <c r="T158" s="6">
        <f t="shared" si="51"/>
        <v>498699112.38918728</v>
      </c>
      <c r="U158" s="55">
        <v>509607151.92788178</v>
      </c>
      <c r="V158" s="5">
        <f t="shared" si="49"/>
        <v>1.0218729876747441</v>
      </c>
      <c r="W158" s="6"/>
    </row>
    <row r="159" spans="1:23" x14ac:dyDescent="0.2">
      <c r="A159" s="24">
        <v>2023</v>
      </c>
      <c r="B159" s="6">
        <f>SUM(B87:B98)</f>
        <v>499577067.48000002</v>
      </c>
      <c r="D159" s="6">
        <f t="shared" ref="D159:G159" si="56">SUM(D87:D98)</f>
        <v>499577067.48000002</v>
      </c>
      <c r="E159" s="6">
        <f t="shared" si="56"/>
        <v>0</v>
      </c>
      <c r="F159" s="6">
        <f t="shared" si="56"/>
        <v>0</v>
      </c>
      <c r="G159" s="6">
        <f t="shared" si="56"/>
        <v>499577067.48000002</v>
      </c>
      <c r="H159" s="6"/>
      <c r="I159" s="6"/>
      <c r="J159" s="6"/>
      <c r="K159" s="6"/>
      <c r="L159" s="6"/>
      <c r="M159" s="6"/>
      <c r="N159" s="6"/>
      <c r="O159" s="6"/>
      <c r="P159" s="6"/>
      <c r="Q159" s="6">
        <f>SUM(P87:P98)</f>
        <v>500158442.93097919</v>
      </c>
      <c r="R159" s="6">
        <f t="shared" si="46"/>
        <v>0</v>
      </c>
      <c r="S159" s="6">
        <f t="shared" si="47"/>
        <v>0</v>
      </c>
      <c r="T159" s="6">
        <f t="shared" si="51"/>
        <v>500158442.93097919</v>
      </c>
      <c r="U159" s="55">
        <v>516814819.97871953</v>
      </c>
      <c r="V159" s="5">
        <f t="shared" si="49"/>
        <v>1.0333022010987805</v>
      </c>
      <c r="W159" s="6"/>
    </row>
    <row r="160" spans="1:23" x14ac:dyDescent="0.2">
      <c r="A160" s="24">
        <v>2024</v>
      </c>
      <c r="B160" s="6">
        <f>SUM(B99:B110)</f>
        <v>513995694.87999994</v>
      </c>
      <c r="D160" s="6">
        <f t="shared" ref="D160:G160" si="57">SUM(D99:D110)</f>
        <v>513995694.87999994</v>
      </c>
      <c r="E160" s="6">
        <f t="shared" si="57"/>
        <v>0</v>
      </c>
      <c r="F160" s="6">
        <f t="shared" si="57"/>
        <v>0</v>
      </c>
      <c r="G160" s="6">
        <f t="shared" si="57"/>
        <v>513995694.87999994</v>
      </c>
      <c r="H160" s="6"/>
      <c r="I160" s="6"/>
      <c r="J160" s="6"/>
      <c r="K160" s="6"/>
      <c r="L160" s="6"/>
      <c r="M160" s="6"/>
      <c r="N160" s="6"/>
      <c r="O160" s="6"/>
      <c r="P160" s="6"/>
      <c r="Q160" s="6">
        <f>SUM(P99:P110)</f>
        <v>517056368.30425441</v>
      </c>
      <c r="R160" s="6">
        <f t="shared" si="46"/>
        <v>0</v>
      </c>
      <c r="S160" s="6">
        <f t="shared" si="47"/>
        <v>0</v>
      </c>
      <c r="T160" s="6">
        <f t="shared" si="51"/>
        <v>517056368.30425441</v>
      </c>
      <c r="U160" s="55">
        <v>516028850.62958187</v>
      </c>
      <c r="V160" s="5">
        <f t="shared" si="49"/>
        <v>0.99801275501539144</v>
      </c>
      <c r="W160" s="5"/>
    </row>
    <row r="161" spans="1:23" x14ac:dyDescent="0.2">
      <c r="A161" s="24">
        <v>2025</v>
      </c>
      <c r="B161" s="6">
        <f>SUM(B111:B122)</f>
        <v>527446133.11000001</v>
      </c>
      <c r="D161" s="6">
        <f t="shared" ref="D161:G161" si="58">SUM(D111:D122)</f>
        <v>527446133.11000001</v>
      </c>
      <c r="E161" s="6">
        <f t="shared" si="58"/>
        <v>0</v>
      </c>
      <c r="F161" s="6">
        <f t="shared" si="58"/>
        <v>0</v>
      </c>
      <c r="G161" s="6">
        <f t="shared" si="58"/>
        <v>527446133.11000001</v>
      </c>
      <c r="H161" s="6"/>
      <c r="I161" s="6"/>
      <c r="J161" s="6"/>
      <c r="K161" s="6"/>
      <c r="L161" s="6"/>
      <c r="M161" s="6"/>
      <c r="N161" s="6"/>
      <c r="O161" s="6"/>
      <c r="P161" s="6"/>
      <c r="Q161" s="6">
        <f>SUM(P111:P122)</f>
        <v>520148221.97684371</v>
      </c>
      <c r="R161" s="6">
        <f t="shared" si="46"/>
        <v>0</v>
      </c>
      <c r="S161" s="6">
        <f t="shared" si="47"/>
        <v>0</v>
      </c>
      <c r="T161" s="6">
        <f>Q161+R161+S161</f>
        <v>520148221.97684371</v>
      </c>
      <c r="U161" s="55">
        <v>515452567.60435975</v>
      </c>
      <c r="V161" s="5">
        <f t="shared" si="49"/>
        <v>0.99097246866549316</v>
      </c>
      <c r="W161" s="5"/>
    </row>
    <row r="162" spans="1:23" x14ac:dyDescent="0.2">
      <c r="A162" s="24">
        <v>2026</v>
      </c>
      <c r="Q162" s="13">
        <f>SUM(P123:P134)</f>
        <v>516339024.81672943</v>
      </c>
      <c r="R162" s="6">
        <f t="shared" si="46"/>
        <v>0</v>
      </c>
      <c r="S162" s="6">
        <f t="shared" si="47"/>
        <v>0</v>
      </c>
      <c r="T162" s="6">
        <f t="shared" si="51"/>
        <v>516339024.81672943</v>
      </c>
      <c r="U162" s="55">
        <v>516339024.81672943</v>
      </c>
      <c r="V162" s="5">
        <f t="shared" si="49"/>
        <v>1</v>
      </c>
      <c r="W162" s="5"/>
    </row>
    <row r="163" spans="1:23" x14ac:dyDescent="0.2">
      <c r="A163" s="24">
        <v>2027</v>
      </c>
      <c r="Q163" s="13">
        <f>SUM(P135:P146)</f>
        <v>517274726.10392481</v>
      </c>
      <c r="R163" s="6">
        <f t="shared" si="46"/>
        <v>0</v>
      </c>
      <c r="S163" s="6">
        <f t="shared" si="47"/>
        <v>0</v>
      </c>
      <c r="T163" s="6">
        <f t="shared" si="51"/>
        <v>517274726.10392481</v>
      </c>
      <c r="U163" s="55">
        <v>517274726.10392481</v>
      </c>
      <c r="V163" s="5">
        <f t="shared" si="49"/>
        <v>1</v>
      </c>
      <c r="W163" s="5"/>
    </row>
    <row r="164" spans="1:23" x14ac:dyDescent="0.2">
      <c r="Q164" s="6"/>
    </row>
    <row r="165" spans="1:23" x14ac:dyDescent="0.2">
      <c r="A165" s="38" t="s">
        <v>7</v>
      </c>
      <c r="B165" s="6">
        <f>SUM(B152:B161)</f>
        <v>4979176367.2615995</v>
      </c>
      <c r="D165" s="6">
        <f t="shared" ref="D165:G165" si="59">SUM(D152:D161)</f>
        <v>4979176367.2615995</v>
      </c>
      <c r="E165" s="6">
        <f t="shared" si="59"/>
        <v>0</v>
      </c>
      <c r="F165" s="6">
        <f t="shared" si="59"/>
        <v>0</v>
      </c>
      <c r="G165" s="6">
        <f t="shared" si="59"/>
        <v>4979176367.2615995</v>
      </c>
      <c r="L165" s="1" t="s">
        <v>94</v>
      </c>
      <c r="Q165" s="6">
        <f>SUM(Q152:Q161)</f>
        <v>4979176367.2616005</v>
      </c>
      <c r="T165" s="6">
        <f>SUM(T152:T161)</f>
        <v>4979176367.2616005</v>
      </c>
      <c r="U165" s="6"/>
    </row>
    <row r="166" spans="1:23" x14ac:dyDescent="0.2">
      <c r="Q166" s="29">
        <f>Q165-G165</f>
        <v>0</v>
      </c>
      <c r="T166" s="55">
        <f>T165-G165</f>
        <v>0</v>
      </c>
    </row>
    <row r="168" spans="1:23" x14ac:dyDescent="0.2">
      <c r="R168"/>
      <c r="S168"/>
      <c r="T168"/>
      <c r="U168"/>
      <c r="V168"/>
      <c r="W168"/>
    </row>
    <row r="169" spans="1:23" x14ac:dyDescent="0.2">
      <c r="Q169" s="6">
        <f>SUM(Q152:Q163)</f>
        <v>6012790118.1822548</v>
      </c>
    </row>
    <row r="170" spans="1:23" x14ac:dyDescent="0.2">
      <c r="Q170" s="29">
        <f>Q150-Q169</f>
        <v>0</v>
      </c>
    </row>
    <row r="171" spans="1:23" x14ac:dyDescent="0.2">
      <c r="A171"/>
      <c r="B171"/>
      <c r="C171"/>
      <c r="D171"/>
      <c r="E171"/>
      <c r="F171"/>
      <c r="G171"/>
      <c r="H171"/>
      <c r="I171"/>
      <c r="J171"/>
      <c r="L171"/>
      <c r="M171"/>
      <c r="N171"/>
      <c r="O171"/>
      <c r="P171"/>
      <c r="Q171"/>
      <c r="R171"/>
    </row>
    <row r="172" spans="1:23" x14ac:dyDescent="0.2">
      <c r="A172"/>
      <c r="B172"/>
      <c r="C172"/>
      <c r="D172"/>
      <c r="E172"/>
      <c r="F172"/>
      <c r="G172"/>
      <c r="H172"/>
      <c r="I172"/>
      <c r="J172"/>
      <c r="L172"/>
      <c r="M172"/>
      <c r="N172"/>
      <c r="O172"/>
      <c r="P172"/>
      <c r="Q172"/>
      <c r="R172"/>
    </row>
    <row r="173" spans="1:23" x14ac:dyDescent="0.2">
      <c r="A173"/>
      <c r="B173"/>
      <c r="C173"/>
      <c r="D173"/>
      <c r="E173"/>
      <c r="F173"/>
      <c r="G173"/>
      <c r="H173"/>
      <c r="I173"/>
      <c r="J173"/>
      <c r="L173"/>
      <c r="M173"/>
      <c r="N173"/>
      <c r="O173"/>
      <c r="P173"/>
      <c r="Q173"/>
      <c r="R173"/>
    </row>
    <row r="174" spans="1:23" x14ac:dyDescent="0.2">
      <c r="A174"/>
      <c r="B174"/>
      <c r="C174"/>
      <c r="D174"/>
      <c r="E174"/>
      <c r="F174"/>
      <c r="G174"/>
      <c r="H174"/>
      <c r="I174"/>
      <c r="J174"/>
      <c r="L174"/>
      <c r="M174"/>
      <c r="N174"/>
      <c r="O174"/>
      <c r="P174"/>
      <c r="Q174"/>
      <c r="R174"/>
    </row>
    <row r="175" spans="1:23" x14ac:dyDescent="0.2">
      <c r="A175"/>
      <c r="B175"/>
      <c r="C175"/>
      <c r="H175" s="6"/>
      <c r="I175" s="6"/>
      <c r="J175" s="6"/>
      <c r="L175"/>
      <c r="M175"/>
      <c r="N175"/>
      <c r="O175"/>
      <c r="P175"/>
      <c r="Q175"/>
      <c r="R175"/>
    </row>
    <row r="176" spans="1:23" x14ac:dyDescent="0.2">
      <c r="A176"/>
      <c r="B176"/>
      <c r="C176"/>
      <c r="H176" s="6"/>
      <c r="I176" s="6"/>
      <c r="J176" s="6"/>
      <c r="L176"/>
      <c r="M176"/>
      <c r="N176"/>
      <c r="O176"/>
      <c r="P176"/>
      <c r="Q176"/>
      <c r="R176"/>
    </row>
    <row r="177" spans="1:23" x14ac:dyDescent="0.2">
      <c r="A177"/>
      <c r="B177"/>
      <c r="C177"/>
      <c r="H177" s="6"/>
      <c r="I177" s="6"/>
      <c r="J177" s="6"/>
      <c r="L177"/>
      <c r="M177"/>
      <c r="N177"/>
      <c r="O177"/>
      <c r="P177"/>
      <c r="Q177"/>
      <c r="R177"/>
    </row>
    <row r="178" spans="1:23" x14ac:dyDescent="0.2">
      <c r="A178"/>
      <c r="B178"/>
      <c r="C178"/>
      <c r="H178" s="6"/>
      <c r="I178" s="6"/>
      <c r="J178" s="6"/>
      <c r="L178"/>
      <c r="M178"/>
      <c r="N178"/>
      <c r="O178"/>
      <c r="P178"/>
      <c r="Q178"/>
      <c r="R178"/>
    </row>
    <row r="179" spans="1:23" x14ac:dyDescent="0.2">
      <c r="A179"/>
      <c r="B179"/>
      <c r="C179"/>
      <c r="H179" s="6"/>
      <c r="I179" s="6"/>
      <c r="J179" s="6"/>
      <c r="L179"/>
      <c r="M179"/>
      <c r="N179"/>
      <c r="O179"/>
      <c r="P179"/>
      <c r="Q179"/>
      <c r="R179"/>
      <c r="S179"/>
      <c r="T179"/>
      <c r="U179"/>
      <c r="V179"/>
      <c r="W179"/>
    </row>
    <row r="180" spans="1:23" x14ac:dyDescent="0.2">
      <c r="A180"/>
      <c r="B180"/>
      <c r="C180"/>
      <c r="H180" s="6"/>
      <c r="I180" s="6"/>
      <c r="J180" s="6"/>
      <c r="L180"/>
      <c r="M180"/>
      <c r="N180"/>
      <c r="O180"/>
      <c r="P180"/>
      <c r="Q180"/>
      <c r="R180"/>
      <c r="S180"/>
      <c r="T180"/>
      <c r="U180"/>
      <c r="V180"/>
      <c r="W180"/>
    </row>
    <row r="181" spans="1:23" x14ac:dyDescent="0.2">
      <c r="A181"/>
      <c r="B181"/>
      <c r="C181"/>
      <c r="H181" s="6"/>
      <c r="I181" s="6"/>
      <c r="J181" s="6"/>
      <c r="L181"/>
      <c r="M181"/>
      <c r="N181"/>
      <c r="O181"/>
      <c r="P181"/>
      <c r="Q181"/>
      <c r="R181"/>
      <c r="S181"/>
      <c r="T181"/>
      <c r="U181"/>
      <c r="V181"/>
      <c r="W181"/>
    </row>
    <row r="182" spans="1:23" x14ac:dyDescent="0.2">
      <c r="A182"/>
      <c r="B182"/>
      <c r="C182"/>
      <c r="H182" s="6"/>
      <c r="I182" s="6"/>
      <c r="J182" s="6"/>
      <c r="L182"/>
      <c r="M182"/>
      <c r="N182"/>
      <c r="O182"/>
      <c r="P182"/>
      <c r="Q182"/>
      <c r="R182"/>
      <c r="S182"/>
      <c r="T182"/>
      <c r="U182"/>
      <c r="V182"/>
      <c r="W182"/>
    </row>
    <row r="183" spans="1:23" x14ac:dyDescent="0.2">
      <c r="A183"/>
      <c r="B183"/>
      <c r="C183"/>
      <c r="H183" s="6"/>
      <c r="I183" s="6"/>
      <c r="J183" s="6"/>
      <c r="L183"/>
      <c r="M183"/>
      <c r="N183"/>
      <c r="O183"/>
      <c r="P183"/>
      <c r="Q183"/>
      <c r="R183"/>
      <c r="S183"/>
      <c r="T183"/>
      <c r="U183"/>
      <c r="V183"/>
      <c r="W183"/>
    </row>
    <row r="184" spans="1:23" x14ac:dyDescent="0.2">
      <c r="A184"/>
      <c r="H184" s="6"/>
      <c r="I184" s="6"/>
      <c r="J184" s="6"/>
      <c r="S184"/>
      <c r="T184"/>
      <c r="U184"/>
      <c r="V184"/>
      <c r="W184"/>
    </row>
    <row r="185" spans="1:23" x14ac:dyDescent="0.2">
      <c r="A185"/>
      <c r="H185" s="6"/>
      <c r="I185" s="6"/>
      <c r="J185" s="6"/>
      <c r="S185"/>
      <c r="T185"/>
      <c r="U185"/>
      <c r="V185"/>
      <c r="W185"/>
    </row>
    <row r="186" spans="1:23" x14ac:dyDescent="0.2">
      <c r="A186"/>
      <c r="H186" s="6"/>
      <c r="I186" s="6"/>
      <c r="J186" s="6"/>
      <c r="S186"/>
      <c r="T186"/>
      <c r="U186"/>
      <c r="V186"/>
      <c r="W186"/>
    </row>
    <row r="187" spans="1:23" x14ac:dyDescent="0.2">
      <c r="A187"/>
      <c r="H187" s="6"/>
      <c r="I187" s="6"/>
      <c r="J187" s="6"/>
      <c r="K187" s="6"/>
      <c r="S187"/>
      <c r="T187"/>
      <c r="U187"/>
      <c r="V187"/>
      <c r="W187"/>
    </row>
    <row r="188" spans="1:23" x14ac:dyDescent="0.2">
      <c r="A188"/>
      <c r="S188"/>
      <c r="T188"/>
      <c r="U188"/>
      <c r="V188"/>
      <c r="W188"/>
    </row>
    <row r="189" spans="1:23" x14ac:dyDescent="0.2">
      <c r="A189"/>
      <c r="S189"/>
      <c r="T189"/>
      <c r="U189"/>
      <c r="V189"/>
      <c r="W189"/>
    </row>
    <row r="190" spans="1:23" x14ac:dyDescent="0.2">
      <c r="A190"/>
      <c r="S190"/>
      <c r="T190"/>
      <c r="U190"/>
      <c r="V190"/>
      <c r="W190"/>
    </row>
    <row r="191" spans="1:23" x14ac:dyDescent="0.2">
      <c r="A191"/>
      <c r="S191"/>
      <c r="T191"/>
      <c r="U191"/>
      <c r="V191"/>
      <c r="W191"/>
    </row>
    <row r="192" spans="1:23" x14ac:dyDescent="0.2">
      <c r="A192"/>
      <c r="S192"/>
      <c r="T192"/>
      <c r="U192"/>
      <c r="V192"/>
      <c r="W192"/>
    </row>
    <row r="193" spans="1:23" x14ac:dyDescent="0.2">
      <c r="A193"/>
      <c r="S193"/>
      <c r="T193"/>
      <c r="U193"/>
      <c r="V193"/>
      <c r="W193"/>
    </row>
    <row r="194" spans="1:23" x14ac:dyDescent="0.2">
      <c r="A194"/>
      <c r="S194"/>
      <c r="T194"/>
      <c r="U194"/>
      <c r="V194"/>
      <c r="W194"/>
    </row>
    <row r="195" spans="1:23" customFormat="1" x14ac:dyDescent="0.2">
      <c r="K195" s="52"/>
    </row>
    <row r="196" spans="1:23" customFormat="1" x14ac:dyDescent="0.2">
      <c r="K196" s="52"/>
    </row>
  </sheetData>
  <mergeCells count="1">
    <mergeCell ref="V148:V151"/>
  </mergeCells>
  <pageMargins left="0.7" right="0.7" top="0.75" bottom="0.75" header="0.3" footer="0.3"/>
  <pageSetup paperSize="5" scale="37" orientation="portrait" r:id="rId1"/>
  <colBreaks count="3" manualBreakCount="3">
    <brk id="16" max="168" man="1"/>
    <brk id="22" max="168" man="1"/>
    <brk id="32" max="16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80F84-3176-42EB-AE17-B09DA1FC1EBD}">
  <sheetPr>
    <tabColor rgb="FF00B0F0"/>
  </sheetPr>
  <dimension ref="A1:AK196"/>
  <sheetViews>
    <sheetView view="pageBreakPreview" topLeftCell="D138" zoomScale="85" zoomScaleNormal="100" zoomScaleSheetLayoutView="85" workbookViewId="0">
      <selection activeCell="C22" sqref="C22"/>
    </sheetView>
  </sheetViews>
  <sheetFormatPr defaultRowHeight="12.75" x14ac:dyDescent="0.2"/>
  <cols>
    <col min="1" max="1" width="11.7109375" style="24" customWidth="1"/>
    <col min="2" max="7" width="16.7109375" style="6" customWidth="1"/>
    <col min="8" max="8" width="11.5703125" style="1" customWidth="1"/>
    <col min="9" max="10" width="13.42578125" style="1" customWidth="1"/>
    <col min="11" max="11" width="10.28515625" style="52" customWidth="1"/>
    <col min="12" max="15" width="13" style="1" customWidth="1"/>
    <col min="16" max="16" width="15.5703125" style="1" bestFit="1" customWidth="1"/>
    <col min="17" max="17" width="16" style="1" customWidth="1"/>
    <col min="18" max="18" width="18.28515625" style="1" bestFit="1" customWidth="1"/>
    <col min="19" max="20" width="18.42578125" style="1" bestFit="1" customWidth="1"/>
    <col min="21" max="21" width="21.7109375" style="1" customWidth="1"/>
    <col min="22" max="22" width="18.42578125" style="1" bestFit="1" customWidth="1"/>
    <col min="23" max="23" width="25.28515625" customWidth="1"/>
    <col min="24" max="24" width="25" customWidth="1"/>
    <col min="25" max="25" width="18.42578125" customWidth="1"/>
    <col min="26" max="30" width="12.5703125" customWidth="1"/>
    <col min="31" max="31" width="12.7109375" bestFit="1" customWidth="1"/>
    <col min="32" max="32" width="12.5703125" customWidth="1"/>
    <col min="33" max="33" width="42.42578125" bestFit="1" customWidth="1"/>
    <col min="34" max="34" width="15.5703125" bestFit="1" customWidth="1"/>
    <col min="35" max="35" width="26.140625" bestFit="1" customWidth="1"/>
    <col min="36" max="36" width="23" bestFit="1" customWidth="1"/>
    <col min="39" max="39" width="40.5703125" bestFit="1" customWidth="1"/>
    <col min="40" max="40" width="42.7109375" bestFit="1" customWidth="1"/>
  </cols>
  <sheetData>
    <row r="1" spans="1:37" x14ac:dyDescent="0.2">
      <c r="D1" s="158"/>
      <c r="E1" s="148"/>
      <c r="AH1" s="98"/>
      <c r="AI1" s="98"/>
      <c r="AJ1" s="98"/>
      <c r="AK1" s="98"/>
    </row>
    <row r="2" spans="1:37" ht="38.25" x14ac:dyDescent="0.2">
      <c r="A2" s="93"/>
      <c r="B2" s="94" t="s">
        <v>49</v>
      </c>
      <c r="C2" s="94" t="s">
        <v>81</v>
      </c>
      <c r="D2" s="94" t="s">
        <v>84</v>
      </c>
      <c r="E2" s="94" t="s">
        <v>85</v>
      </c>
      <c r="F2" s="94" t="s">
        <v>86</v>
      </c>
      <c r="G2" s="94" t="s">
        <v>87</v>
      </c>
      <c r="H2" s="95" t="s">
        <v>2</v>
      </c>
      <c r="I2" s="95" t="s">
        <v>3</v>
      </c>
      <c r="J2" s="95" t="s">
        <v>64</v>
      </c>
      <c r="K2" s="96" t="s">
        <v>13</v>
      </c>
      <c r="L2" s="95" t="s">
        <v>78</v>
      </c>
      <c r="M2" s="95" t="s">
        <v>143</v>
      </c>
      <c r="N2" s="95" t="s">
        <v>144</v>
      </c>
      <c r="O2" s="95" t="s">
        <v>8</v>
      </c>
      <c r="P2" s="97" t="s">
        <v>88</v>
      </c>
      <c r="Q2" s="95" t="s">
        <v>89</v>
      </c>
      <c r="R2" s="118" t="s">
        <v>90</v>
      </c>
      <c r="S2" s="119" t="s">
        <v>91</v>
      </c>
      <c r="T2" s="119" t="s">
        <v>92</v>
      </c>
      <c r="U2" s="119" t="s">
        <v>93</v>
      </c>
      <c r="V2"/>
      <c r="W2" s="39" t="s">
        <v>14</v>
      </c>
      <c r="AG2" s="98"/>
      <c r="AH2" s="98"/>
      <c r="AI2" s="98"/>
      <c r="AJ2" s="98"/>
    </row>
    <row r="3" spans="1:37" x14ac:dyDescent="0.2">
      <c r="A3" s="43">
        <v>42400</v>
      </c>
      <c r="B3" s="152" cm="1">
        <f t="array" ref="B3:B122">Inputs!D24:D143</f>
        <v>44500830.719999984</v>
      </c>
      <c r="C3" s="94"/>
      <c r="D3" s="44">
        <f>B3+C3</f>
        <v>44500830.719999984</v>
      </c>
      <c r="E3" s="94"/>
      <c r="F3" s="94"/>
      <c r="G3" s="139">
        <f>D3-E3-F3</f>
        <v>44500830.719999984</v>
      </c>
      <c r="H3" s="147">
        <v>492.16999999999996</v>
      </c>
      <c r="I3" s="147">
        <v>0</v>
      </c>
      <c r="J3" s="44">
        <v>31</v>
      </c>
      <c r="K3" s="142">
        <v>0</v>
      </c>
      <c r="L3" s="44" cm="1">
        <f t="array" ref="L3:L122">Inputs!C24:C143</f>
        <v>28641.195561045275</v>
      </c>
      <c r="M3" s="44">
        <v>0</v>
      </c>
      <c r="N3" s="44">
        <v>23524632</v>
      </c>
      <c r="O3" s="44">
        <f>$X$30+$X$31*H3+$X$32*I3+$X$33*J3+$X$34*K3+$X$35*L3+M3*$X$36+N3*$X$37</f>
        <v>43109086.146988571</v>
      </c>
      <c r="P3" s="29">
        <f t="shared" ref="P3:P66" si="0">O3-G3</f>
        <v>-1391744.5730114132</v>
      </c>
      <c r="Q3" s="37">
        <f t="shared" ref="Q3:Q66" si="1">P3/G3</f>
        <v>-3.127457511452527E-2</v>
      </c>
      <c r="R3" s="120">
        <f>ABS(Q3)</f>
        <v>3.127457511452527E-2</v>
      </c>
      <c r="S3" s="121">
        <f>P3*P3</f>
        <v>1936952956506.7209</v>
      </c>
      <c r="T3" s="121"/>
      <c r="U3" s="121"/>
      <c r="V3"/>
      <c r="W3" s="39"/>
      <c r="AG3" s="98"/>
      <c r="AH3" s="98"/>
      <c r="AI3" s="98"/>
      <c r="AJ3" s="98"/>
    </row>
    <row r="4" spans="1:37" x14ac:dyDescent="0.2">
      <c r="A4" s="43">
        <v>42429</v>
      </c>
      <c r="B4" s="152">
        <v>40982390.300000004</v>
      </c>
      <c r="C4" s="94"/>
      <c r="D4" s="44">
        <f t="shared" ref="D4:D67" si="2">B4+C4</f>
        <v>40982390.300000004</v>
      </c>
      <c r="E4" s="94"/>
      <c r="F4" s="94"/>
      <c r="G4" s="139">
        <f t="shared" ref="G4:G62" si="3">D4-E4-F4</f>
        <v>40982390.300000004</v>
      </c>
      <c r="H4" s="147">
        <v>420.35999999999996</v>
      </c>
      <c r="I4" s="147">
        <v>0</v>
      </c>
      <c r="J4" s="44">
        <v>29</v>
      </c>
      <c r="K4" s="142">
        <v>0</v>
      </c>
      <c r="L4" s="44">
        <v>28649.315698836341</v>
      </c>
      <c r="M4" s="44">
        <v>0</v>
      </c>
      <c r="N4" s="44">
        <v>24243959</v>
      </c>
      <c r="O4" s="44">
        <f t="shared" ref="O4:O67" si="4">$X$30+$X$31*H4+$X$32*I4+$X$33*J4+$X$34*K4+$X$35*L4+M4*$X$36+N4*$X$37</f>
        <v>40478821.859284721</v>
      </c>
      <c r="P4" s="29">
        <f t="shared" si="0"/>
        <v>-503568.44071528316</v>
      </c>
      <c r="Q4" s="37">
        <f t="shared" si="1"/>
        <v>-1.2287434603717663E-2</v>
      </c>
      <c r="R4" s="120">
        <f t="shared" ref="R4:R67" si="5">ABS(Q4)</f>
        <v>1.2287434603717663E-2</v>
      </c>
      <c r="S4" s="121">
        <f t="shared" ref="S4:S67" si="6">P4*P4</f>
        <v>253581174484.42163</v>
      </c>
      <c r="T4" s="121">
        <f>P4-P3</f>
        <v>888176.13229613006</v>
      </c>
      <c r="U4" s="121">
        <f>T4*T4</f>
        <v>788856841980.5127</v>
      </c>
      <c r="V4"/>
      <c r="W4" s="39"/>
      <c r="AG4" s="98"/>
      <c r="AH4" s="98"/>
      <c r="AI4" s="98"/>
      <c r="AJ4" s="98"/>
    </row>
    <row r="5" spans="1:37" x14ac:dyDescent="0.2">
      <c r="A5" s="43">
        <v>42460</v>
      </c>
      <c r="B5" s="152">
        <v>39758543.469999999</v>
      </c>
      <c r="C5" s="94"/>
      <c r="D5" s="44">
        <f t="shared" si="2"/>
        <v>39758543.469999999</v>
      </c>
      <c r="E5" s="94"/>
      <c r="F5" s="94"/>
      <c r="G5" s="139">
        <f t="shared" si="3"/>
        <v>39758543.469999999</v>
      </c>
      <c r="H5" s="147">
        <v>361.91</v>
      </c>
      <c r="I5" s="147">
        <v>0</v>
      </c>
      <c r="J5" s="44">
        <v>31</v>
      </c>
      <c r="K5" s="142">
        <v>1</v>
      </c>
      <c r="L5" s="44">
        <v>28657.443724103876</v>
      </c>
      <c r="M5" s="44">
        <v>0</v>
      </c>
      <c r="N5" s="44">
        <v>26157972</v>
      </c>
      <c r="O5" s="44">
        <f t="shared" si="4"/>
        <v>39088835.687364489</v>
      </c>
      <c r="P5" s="29">
        <f t="shared" si="0"/>
        <v>-669707.78263550997</v>
      </c>
      <c r="Q5" s="37">
        <f t="shared" si="1"/>
        <v>-1.6844374169311338E-2</v>
      </c>
      <c r="R5" s="120">
        <f t="shared" si="5"/>
        <v>1.6844374169311338E-2</v>
      </c>
      <c r="S5" s="121">
        <f t="shared" si="6"/>
        <v>448508514122.57147</v>
      </c>
      <c r="T5" s="121">
        <f t="shared" ref="T5:T68" si="7">P5-P4</f>
        <v>-166139.34192022681</v>
      </c>
      <c r="U5" s="121">
        <f t="shared" ref="U5:U68" si="8">T5*T5</f>
        <v>27602280933.686035</v>
      </c>
      <c r="V5"/>
      <c r="W5" s="39"/>
      <c r="AG5" s="98"/>
      <c r="AH5" s="98"/>
      <c r="AI5" s="98"/>
      <c r="AJ5" s="98"/>
    </row>
    <row r="6" spans="1:37" x14ac:dyDescent="0.2">
      <c r="A6" s="43">
        <v>42490</v>
      </c>
      <c r="B6" s="152">
        <v>36143916.349999994</v>
      </c>
      <c r="C6" s="94"/>
      <c r="D6" s="44">
        <f t="shared" si="2"/>
        <v>36143916.349999994</v>
      </c>
      <c r="E6" s="94"/>
      <c r="F6" s="94"/>
      <c r="G6" s="139">
        <f t="shared" si="3"/>
        <v>36143916.349999994</v>
      </c>
      <c r="H6" s="147">
        <v>249.59</v>
      </c>
      <c r="I6" s="147">
        <v>0.2</v>
      </c>
      <c r="J6" s="44">
        <v>30</v>
      </c>
      <c r="K6" s="142">
        <v>1</v>
      </c>
      <c r="L6" s="44">
        <v>28665.579614357437</v>
      </c>
      <c r="M6" s="44">
        <v>0</v>
      </c>
      <c r="N6" s="44">
        <v>24474973</v>
      </c>
      <c r="O6" s="44">
        <f t="shared" si="4"/>
        <v>36279857.964332044</v>
      </c>
      <c r="P6" s="29">
        <f t="shared" si="0"/>
        <v>135941.61433205009</v>
      </c>
      <c r="Q6" s="37">
        <f t="shared" si="1"/>
        <v>3.7611202121999739E-3</v>
      </c>
      <c r="R6" s="120">
        <f t="shared" si="5"/>
        <v>3.7611202121999739E-3</v>
      </c>
      <c r="S6" s="121">
        <f t="shared" si="6"/>
        <v>18480122507.203846</v>
      </c>
      <c r="T6" s="121">
        <f t="shared" si="7"/>
        <v>805649.39696756005</v>
      </c>
      <c r="U6" s="121">
        <f t="shared" si="8"/>
        <v>649070950834.19312</v>
      </c>
      <c r="V6"/>
      <c r="W6" s="39"/>
      <c r="AG6" s="98"/>
      <c r="AH6" s="98"/>
      <c r="AI6" s="98"/>
      <c r="AJ6" s="98"/>
    </row>
    <row r="7" spans="1:37" x14ac:dyDescent="0.2">
      <c r="A7" s="43">
        <v>42521</v>
      </c>
      <c r="B7" s="152">
        <v>35571116.150000006</v>
      </c>
      <c r="C7" s="94"/>
      <c r="D7" s="44">
        <f t="shared" si="2"/>
        <v>35571116.150000006</v>
      </c>
      <c r="E7" s="94"/>
      <c r="F7" s="94"/>
      <c r="G7" s="139">
        <f t="shared" si="3"/>
        <v>35571116.150000006</v>
      </c>
      <c r="H7" s="147">
        <v>107.23999999999998</v>
      </c>
      <c r="I7" s="147">
        <v>12.239999999999998</v>
      </c>
      <c r="J7" s="44">
        <v>31</v>
      </c>
      <c r="K7" s="142">
        <v>1</v>
      </c>
      <c r="L7" s="44">
        <v>28673.723347218267</v>
      </c>
      <c r="M7" s="44">
        <v>0</v>
      </c>
      <c r="N7" s="44">
        <v>24878252</v>
      </c>
      <c r="O7" s="44">
        <f t="shared" si="4"/>
        <v>36045240.558069557</v>
      </c>
      <c r="P7" s="29">
        <f t="shared" si="0"/>
        <v>474124.40806955099</v>
      </c>
      <c r="Q7" s="37">
        <f t="shared" si="1"/>
        <v>1.3328915687385617E-2</v>
      </c>
      <c r="R7" s="120">
        <f t="shared" si="5"/>
        <v>1.3328915687385617E-2</v>
      </c>
      <c r="S7" s="121">
        <f t="shared" si="6"/>
        <v>224793954327.30212</v>
      </c>
      <c r="T7" s="121">
        <f t="shared" si="7"/>
        <v>338182.79373750091</v>
      </c>
      <c r="U7" s="121">
        <f t="shared" si="8"/>
        <v>114367601980.10109</v>
      </c>
      <c r="V7"/>
      <c r="W7" s="39"/>
      <c r="AG7" s="98"/>
      <c r="AH7" s="98"/>
      <c r="AI7" s="98"/>
      <c r="AJ7" s="98"/>
    </row>
    <row r="8" spans="1:37" x14ac:dyDescent="0.2">
      <c r="A8" s="43">
        <v>42551</v>
      </c>
      <c r="B8" s="152">
        <v>39220373.289999992</v>
      </c>
      <c r="C8" s="94"/>
      <c r="D8" s="44">
        <f t="shared" si="2"/>
        <v>39220373.289999992</v>
      </c>
      <c r="E8" s="94"/>
      <c r="F8" s="94"/>
      <c r="G8" s="139">
        <f t="shared" si="3"/>
        <v>39220373.289999992</v>
      </c>
      <c r="H8" s="147">
        <v>16.089999999999996</v>
      </c>
      <c r="I8" s="147">
        <v>52.410000000000004</v>
      </c>
      <c r="J8" s="44">
        <v>30</v>
      </c>
      <c r="K8" s="142">
        <v>0</v>
      </c>
      <c r="L8" s="44">
        <v>28681.874900418759</v>
      </c>
      <c r="M8" s="44">
        <v>0</v>
      </c>
      <c r="N8" s="44">
        <v>26506086</v>
      </c>
      <c r="O8" s="44">
        <f t="shared" si="4"/>
        <v>39591649.412166439</v>
      </c>
      <c r="P8" s="29">
        <f t="shared" si="0"/>
        <v>371276.12216644734</v>
      </c>
      <c r="Q8" s="37">
        <f t="shared" si="1"/>
        <v>9.466409700417398E-3</v>
      </c>
      <c r="R8" s="120">
        <f t="shared" si="5"/>
        <v>9.466409700417398E-3</v>
      </c>
      <c r="S8" s="121">
        <f t="shared" si="6"/>
        <v>137845958890.95474</v>
      </c>
      <c r="T8" s="121">
        <f t="shared" si="7"/>
        <v>-102848.28590310365</v>
      </c>
      <c r="U8" s="121">
        <f t="shared" si="8"/>
        <v>10577769913.206549</v>
      </c>
      <c r="V8"/>
      <c r="W8" s="39"/>
      <c r="AG8" s="98"/>
      <c r="AH8" s="98"/>
      <c r="AI8" s="98"/>
      <c r="AJ8" s="98"/>
    </row>
    <row r="9" spans="1:37" x14ac:dyDescent="0.2">
      <c r="A9" s="43">
        <v>42582</v>
      </c>
      <c r="B9" s="152">
        <v>47066419.799999982</v>
      </c>
      <c r="C9" s="94"/>
      <c r="D9" s="44">
        <f t="shared" si="2"/>
        <v>47066419.799999982</v>
      </c>
      <c r="E9" s="94"/>
      <c r="F9" s="94"/>
      <c r="G9" s="139">
        <f t="shared" si="3"/>
        <v>47066419.799999982</v>
      </c>
      <c r="H9" s="147">
        <v>0.65</v>
      </c>
      <c r="I9" s="147">
        <v>112.46</v>
      </c>
      <c r="J9" s="44">
        <v>31</v>
      </c>
      <c r="K9" s="142">
        <v>0</v>
      </c>
      <c r="L9" s="44">
        <v>28690.034251801935</v>
      </c>
      <c r="M9" s="44">
        <v>1</v>
      </c>
      <c r="N9" s="44">
        <v>21781623</v>
      </c>
      <c r="O9" s="44">
        <f t="shared" si="4"/>
        <v>46425973.105050243</v>
      </c>
      <c r="P9" s="29">
        <f t="shared" si="0"/>
        <v>-640446.69494973868</v>
      </c>
      <c r="Q9" s="37">
        <f t="shared" si="1"/>
        <v>-1.3607295767793643E-2</v>
      </c>
      <c r="R9" s="120">
        <f t="shared" si="5"/>
        <v>1.3607295767793643E-2</v>
      </c>
      <c r="S9" s="121">
        <f t="shared" si="6"/>
        <v>410171969072.04364</v>
      </c>
      <c r="T9" s="121">
        <f t="shared" si="7"/>
        <v>-1011722.817116186</v>
      </c>
      <c r="U9" s="121">
        <f t="shared" si="8"/>
        <v>1023583058673.5116</v>
      </c>
      <c r="V9"/>
      <c r="W9" s="39"/>
      <c r="AG9" s="98"/>
      <c r="AH9" s="98"/>
      <c r="AI9" s="98"/>
      <c r="AJ9" s="98"/>
    </row>
    <row r="10" spans="1:37" x14ac:dyDescent="0.2">
      <c r="A10" s="43">
        <v>42613</v>
      </c>
      <c r="B10" s="152">
        <v>50793950.229999974</v>
      </c>
      <c r="C10" s="94"/>
      <c r="D10" s="44">
        <f t="shared" si="2"/>
        <v>50793950.229999974</v>
      </c>
      <c r="E10" s="94"/>
      <c r="F10" s="94"/>
      <c r="G10" s="139">
        <f t="shared" si="3"/>
        <v>50793950.229999974</v>
      </c>
      <c r="H10" s="147">
        <v>3.2599999999999993</v>
      </c>
      <c r="I10" s="147">
        <v>112.46</v>
      </c>
      <c r="J10" s="44">
        <v>31</v>
      </c>
      <c r="K10" s="142">
        <v>0</v>
      </c>
      <c r="L10" s="44">
        <v>28698.201379320915</v>
      </c>
      <c r="M10" s="44">
        <v>1</v>
      </c>
      <c r="N10" s="44">
        <v>26118386</v>
      </c>
      <c r="O10" s="44">
        <f t="shared" si="4"/>
        <v>47400092.006170258</v>
      </c>
      <c r="P10" s="29">
        <f t="shared" si="0"/>
        <v>-3393858.2238297164</v>
      </c>
      <c r="Q10" s="37">
        <f t="shared" si="1"/>
        <v>-6.6816189889976951E-2</v>
      </c>
      <c r="R10" s="120">
        <f t="shared" si="5"/>
        <v>6.6816189889976951E-2</v>
      </c>
      <c r="S10" s="121">
        <f t="shared" si="6"/>
        <v>11518273643456.598</v>
      </c>
      <c r="T10" s="121">
        <f t="shared" si="7"/>
        <v>-2753411.5288799778</v>
      </c>
      <c r="U10" s="121">
        <f t="shared" si="8"/>
        <v>7581275047369.1768</v>
      </c>
      <c r="V10"/>
      <c r="W10" s="39"/>
      <c r="AG10" s="98"/>
      <c r="AH10" s="98"/>
      <c r="AI10" s="98"/>
      <c r="AJ10" s="98"/>
    </row>
    <row r="11" spans="1:37" x14ac:dyDescent="0.2">
      <c r="A11" s="43">
        <v>42643</v>
      </c>
      <c r="B11" s="152">
        <v>39568638.049999982</v>
      </c>
      <c r="C11" s="94"/>
      <c r="D11" s="44">
        <f t="shared" si="2"/>
        <v>39568638.049999982</v>
      </c>
      <c r="E11" s="94"/>
      <c r="F11" s="94"/>
      <c r="G11" s="139">
        <f t="shared" si="3"/>
        <v>39568638.049999982</v>
      </c>
      <c r="H11" s="147">
        <v>28.679999999999996</v>
      </c>
      <c r="I11" s="147">
        <v>44.01</v>
      </c>
      <c r="J11" s="44">
        <v>30</v>
      </c>
      <c r="K11" s="142">
        <v>1</v>
      </c>
      <c r="L11" s="44">
        <v>28706.3762610384</v>
      </c>
      <c r="M11" s="44">
        <v>0</v>
      </c>
      <c r="N11" s="44">
        <v>26028405</v>
      </c>
      <c r="O11" s="44">
        <f t="shared" si="4"/>
        <v>36370426.91955471</v>
      </c>
      <c r="P11" s="29">
        <f t="shared" si="0"/>
        <v>-3198211.1304452717</v>
      </c>
      <c r="Q11" s="37">
        <f t="shared" si="1"/>
        <v>-8.0826919703526998E-2</v>
      </c>
      <c r="R11" s="120">
        <f t="shared" si="5"/>
        <v>8.0826919703526998E-2</v>
      </c>
      <c r="S11" s="121">
        <f t="shared" si="6"/>
        <v>10228554434904.023</v>
      </c>
      <c r="T11" s="121">
        <f t="shared" si="7"/>
        <v>195647.09338444471</v>
      </c>
      <c r="U11" s="121">
        <f t="shared" si="8"/>
        <v>38277785149.781631</v>
      </c>
      <c r="V11"/>
      <c r="W11" s="39"/>
      <c r="AG11" s="98"/>
      <c r="AH11" s="98"/>
      <c r="AI11" s="98"/>
      <c r="AJ11" s="98"/>
    </row>
    <row r="12" spans="1:37" x14ac:dyDescent="0.2">
      <c r="A12" s="43">
        <v>42674</v>
      </c>
      <c r="B12" s="152">
        <v>35855555.68999996</v>
      </c>
      <c r="C12" s="94"/>
      <c r="D12" s="44">
        <f t="shared" si="2"/>
        <v>35855555.68999996</v>
      </c>
      <c r="E12" s="94"/>
      <c r="F12" s="94"/>
      <c r="G12" s="139">
        <f t="shared" si="3"/>
        <v>35855555.68999996</v>
      </c>
      <c r="H12" s="147">
        <v>141.75</v>
      </c>
      <c r="I12" s="147">
        <v>6.5299999999999994</v>
      </c>
      <c r="J12" s="44">
        <v>31</v>
      </c>
      <c r="K12" s="142">
        <v>1</v>
      </c>
      <c r="L12" s="44">
        <v>28714.55887512616</v>
      </c>
      <c r="M12" s="44">
        <v>0</v>
      </c>
      <c r="N12" s="44">
        <v>25248672</v>
      </c>
      <c r="O12" s="44">
        <f t="shared" si="4"/>
        <v>36271146.686328717</v>
      </c>
      <c r="P12" s="29">
        <f t="shared" si="0"/>
        <v>415590.99632875621</v>
      </c>
      <c r="Q12" s="37">
        <f t="shared" si="1"/>
        <v>1.1590700195023436E-2</v>
      </c>
      <c r="R12" s="120">
        <f t="shared" si="5"/>
        <v>1.1590700195023436E-2</v>
      </c>
      <c r="S12" s="121">
        <f t="shared" si="6"/>
        <v>172715876229.52826</v>
      </c>
      <c r="T12" s="121">
        <f t="shared" si="7"/>
        <v>3613802.1267740279</v>
      </c>
      <c r="U12" s="121">
        <f t="shared" si="8"/>
        <v>13059565811476.488</v>
      </c>
      <c r="V12"/>
      <c r="W12" s="39"/>
      <c r="AG12" s="98"/>
      <c r="AH12" s="98"/>
      <c r="AI12" s="98"/>
      <c r="AJ12" s="98"/>
    </row>
    <row r="13" spans="1:37" x14ac:dyDescent="0.2">
      <c r="A13" s="43">
        <v>42704</v>
      </c>
      <c r="B13" s="152">
        <v>36559281.450000003</v>
      </c>
      <c r="C13" s="94"/>
      <c r="D13" s="44">
        <f t="shared" si="2"/>
        <v>36559281.450000003</v>
      </c>
      <c r="E13" s="94"/>
      <c r="F13" s="94"/>
      <c r="G13" s="139">
        <f t="shared" si="3"/>
        <v>36559281.450000003</v>
      </c>
      <c r="H13" s="147">
        <v>304.77999999999992</v>
      </c>
      <c r="I13" s="147">
        <v>0.1</v>
      </c>
      <c r="J13" s="44">
        <v>30</v>
      </c>
      <c r="K13" s="142">
        <v>1</v>
      </c>
      <c r="L13" s="44">
        <v>28722.749199864502</v>
      </c>
      <c r="M13" s="44">
        <v>0</v>
      </c>
      <c r="N13" s="44">
        <v>26188746</v>
      </c>
      <c r="O13" s="44">
        <f t="shared" si="4"/>
        <v>37457829.811582498</v>
      </c>
      <c r="P13" s="29">
        <f t="shared" si="0"/>
        <v>898548.36158249527</v>
      </c>
      <c r="Q13" s="37">
        <f t="shared" si="1"/>
        <v>2.4577845240514026E-2</v>
      </c>
      <c r="R13" s="120">
        <f t="shared" si="5"/>
        <v>2.4577845240514026E-2</v>
      </c>
      <c r="S13" s="121">
        <f t="shared" si="6"/>
        <v>807389158102.58667</v>
      </c>
      <c r="T13" s="121">
        <f t="shared" si="7"/>
        <v>482957.36525373906</v>
      </c>
      <c r="U13" s="121">
        <f t="shared" si="8"/>
        <v>233247816652.83353</v>
      </c>
      <c r="V13"/>
      <c r="W13" s="39"/>
      <c r="AG13" s="98"/>
      <c r="AH13" s="98"/>
      <c r="AI13" s="98"/>
      <c r="AJ13" s="98"/>
    </row>
    <row r="14" spans="1:37" x14ac:dyDescent="0.2">
      <c r="A14" s="43">
        <v>42735</v>
      </c>
      <c r="B14" s="152">
        <v>42534516.759999998</v>
      </c>
      <c r="C14" s="94"/>
      <c r="D14" s="44">
        <f t="shared" si="2"/>
        <v>42534516.759999998</v>
      </c>
      <c r="E14" s="94"/>
      <c r="F14" s="94"/>
      <c r="G14" s="139">
        <f t="shared" si="3"/>
        <v>42534516.759999998</v>
      </c>
      <c r="H14" s="147">
        <v>460.06000000000006</v>
      </c>
      <c r="I14" s="147">
        <v>0</v>
      </c>
      <c r="J14" s="44">
        <v>31</v>
      </c>
      <c r="K14" s="142">
        <v>0</v>
      </c>
      <c r="L14" s="44">
        <v>28730.947213641775</v>
      </c>
      <c r="M14" s="44">
        <v>0</v>
      </c>
      <c r="N14" s="44">
        <v>24077403</v>
      </c>
      <c r="O14" s="44">
        <f t="shared" si="4"/>
        <v>42844884.412659533</v>
      </c>
      <c r="P14" s="29">
        <f t="shared" si="0"/>
        <v>310367.65265953541</v>
      </c>
      <c r="Q14" s="37">
        <f t="shared" si="1"/>
        <v>7.296842101457918E-3</v>
      </c>
      <c r="R14" s="120">
        <f t="shared" si="5"/>
        <v>7.296842101457918E-3</v>
      </c>
      <c r="S14" s="121">
        <f t="shared" si="6"/>
        <v>96328079817.390015</v>
      </c>
      <c r="T14" s="121">
        <f t="shared" si="7"/>
        <v>-588180.70892295986</v>
      </c>
      <c r="U14" s="121">
        <f t="shared" si="8"/>
        <v>345956546349.11566</v>
      </c>
      <c r="V14"/>
      <c r="W14" s="39"/>
      <c r="AG14" s="98"/>
      <c r="AH14" s="98"/>
      <c r="AI14" s="98"/>
      <c r="AJ14" s="98"/>
    </row>
    <row r="15" spans="1:37" ht="13.5" thickBot="1" x14ac:dyDescent="0.25">
      <c r="A15" s="43">
        <v>42766</v>
      </c>
      <c r="B15" s="44">
        <v>43062641.590000018</v>
      </c>
      <c r="C15" s="44"/>
      <c r="D15" s="44">
        <f t="shared" si="2"/>
        <v>43062641.590000018</v>
      </c>
      <c r="E15" s="44"/>
      <c r="F15" s="44"/>
      <c r="G15" s="139">
        <f t="shared" si="3"/>
        <v>43062641.590000018</v>
      </c>
      <c r="H15" s="44">
        <f>H3</f>
        <v>492.16999999999996</v>
      </c>
      <c r="I15" s="44">
        <f>I3</f>
        <v>0</v>
      </c>
      <c r="J15" s="44">
        <v>31</v>
      </c>
      <c r="K15" s="142">
        <v>0</v>
      </c>
      <c r="L15" s="44">
        <v>28747.211249535372</v>
      </c>
      <c r="M15" s="44">
        <v>0</v>
      </c>
      <c r="N15" s="44">
        <v>24123511</v>
      </c>
      <c r="O15" s="44">
        <f t="shared" si="4"/>
        <v>43317024.30244413</v>
      </c>
      <c r="P15" s="29">
        <f t="shared" si="0"/>
        <v>254382.7124441117</v>
      </c>
      <c r="Q15" s="37">
        <f t="shared" si="1"/>
        <v>5.9072714318385965E-3</v>
      </c>
      <c r="R15" s="120">
        <f t="shared" si="5"/>
        <v>5.9072714318385965E-3</v>
      </c>
      <c r="S15" s="121">
        <f t="shared" si="6"/>
        <v>64710564390.423622</v>
      </c>
      <c r="T15" s="121">
        <f t="shared" si="7"/>
        <v>-55984.940215423703</v>
      </c>
      <c r="U15" s="121">
        <f t="shared" si="8"/>
        <v>3134313530.9245663</v>
      </c>
      <c r="V15"/>
      <c r="AG15" s="98"/>
      <c r="AH15" s="98"/>
      <c r="AI15" s="98"/>
      <c r="AJ15" s="98"/>
    </row>
    <row r="16" spans="1:37" x14ac:dyDescent="0.2">
      <c r="A16" s="43">
        <v>42794</v>
      </c>
      <c r="B16" s="44">
        <v>37522207.099999994</v>
      </c>
      <c r="C16" s="44"/>
      <c r="D16" s="44">
        <f t="shared" si="2"/>
        <v>37522207.099999994</v>
      </c>
      <c r="E16" s="44"/>
      <c r="F16" s="44"/>
      <c r="G16" s="139">
        <f t="shared" si="3"/>
        <v>37522207.099999994</v>
      </c>
      <c r="H16" s="44">
        <f t="shared" ref="H16:I16" si="9">H4</f>
        <v>420.35999999999996</v>
      </c>
      <c r="I16" s="44">
        <f t="shared" si="9"/>
        <v>0</v>
      </c>
      <c r="J16" s="44">
        <v>28</v>
      </c>
      <c r="K16" s="142">
        <v>0</v>
      </c>
      <c r="L16" s="44">
        <v>28763.489426035911</v>
      </c>
      <c r="M16" s="44">
        <v>0</v>
      </c>
      <c r="N16" s="44">
        <v>23547398</v>
      </c>
      <c r="O16" s="44">
        <f t="shared" si="4"/>
        <v>39522481.729649462</v>
      </c>
      <c r="P16" s="29">
        <f t="shared" si="0"/>
        <v>2000274.6296494678</v>
      </c>
      <c r="Q16" s="37">
        <f t="shared" si="1"/>
        <v>5.3309087717536424E-2</v>
      </c>
      <c r="R16" s="120">
        <f t="shared" si="5"/>
        <v>5.3309087717536424E-2</v>
      </c>
      <c r="S16" s="121">
        <f t="shared" si="6"/>
        <v>4001098594019.3154</v>
      </c>
      <c r="T16" s="121">
        <f t="shared" si="7"/>
        <v>1745891.9172053561</v>
      </c>
      <c r="U16" s="121">
        <f t="shared" si="8"/>
        <v>3048138586562.9937</v>
      </c>
      <c r="V16"/>
      <c r="W16" s="169" t="s">
        <v>108</v>
      </c>
      <c r="X16" s="169"/>
      <c r="AG16" s="98"/>
      <c r="AH16" s="98"/>
      <c r="AI16" s="98"/>
      <c r="AJ16" s="98"/>
    </row>
    <row r="17" spans="1:36" x14ac:dyDescent="0.2">
      <c r="A17" s="43">
        <v>42825</v>
      </c>
      <c r="B17" s="44">
        <v>41370878.749999993</v>
      </c>
      <c r="C17" s="44"/>
      <c r="D17" s="44">
        <f t="shared" si="2"/>
        <v>41370878.749999993</v>
      </c>
      <c r="E17" s="44"/>
      <c r="F17" s="44"/>
      <c r="G17" s="139">
        <f t="shared" si="3"/>
        <v>41370878.749999993</v>
      </c>
      <c r="H17" s="44">
        <f t="shared" ref="H17:I17" si="10">H5</f>
        <v>361.91</v>
      </c>
      <c r="I17" s="44">
        <f t="shared" si="10"/>
        <v>0</v>
      </c>
      <c r="J17" s="44">
        <v>31</v>
      </c>
      <c r="K17" s="142">
        <v>1</v>
      </c>
      <c r="L17" s="44">
        <v>28779.78173538348</v>
      </c>
      <c r="M17" s="44">
        <v>0</v>
      </c>
      <c r="N17" s="44">
        <v>27873176</v>
      </c>
      <c r="O17" s="44">
        <f t="shared" si="4"/>
        <v>39548743.228417665</v>
      </c>
      <c r="P17" s="29">
        <f t="shared" si="0"/>
        <v>-1822135.5215823278</v>
      </c>
      <c r="Q17" s="37">
        <f t="shared" si="1"/>
        <v>-4.4043916315950338E-2</v>
      </c>
      <c r="R17" s="120">
        <f t="shared" si="5"/>
        <v>4.4043916315950338E-2</v>
      </c>
      <c r="S17" s="121">
        <f t="shared" si="6"/>
        <v>3320177859012.1016</v>
      </c>
      <c r="T17" s="121">
        <f t="shared" si="7"/>
        <v>-3822410.1512317955</v>
      </c>
      <c r="U17" s="121">
        <f t="shared" si="8"/>
        <v>14610819364239.879</v>
      </c>
      <c r="V17"/>
      <c r="W17" t="s">
        <v>109</v>
      </c>
      <c r="X17">
        <v>0.93393811002907778</v>
      </c>
      <c r="AG17" s="98"/>
      <c r="AH17" s="98"/>
      <c r="AI17" s="98"/>
      <c r="AJ17" s="98"/>
    </row>
    <row r="18" spans="1:36" x14ac:dyDescent="0.2">
      <c r="A18" s="43">
        <v>42855</v>
      </c>
      <c r="B18" s="44">
        <v>35639117.619999968</v>
      </c>
      <c r="C18" s="44"/>
      <c r="D18" s="44">
        <f t="shared" si="2"/>
        <v>35639117.619999968</v>
      </c>
      <c r="E18" s="44"/>
      <c r="F18" s="44"/>
      <c r="G18" s="139">
        <f t="shared" si="3"/>
        <v>35639117.619999968</v>
      </c>
      <c r="H18" s="44">
        <f t="shared" ref="H18:I18" si="11">H6</f>
        <v>249.59</v>
      </c>
      <c r="I18" s="44">
        <f t="shared" si="11"/>
        <v>0.2</v>
      </c>
      <c r="J18" s="44">
        <v>30</v>
      </c>
      <c r="K18" s="142">
        <v>1</v>
      </c>
      <c r="L18" s="44">
        <v>28796.088169881848</v>
      </c>
      <c r="M18" s="44">
        <v>0</v>
      </c>
      <c r="N18" s="44">
        <v>24299797</v>
      </c>
      <c r="O18" s="44">
        <f t="shared" si="4"/>
        <v>36339872.930700704</v>
      </c>
      <c r="P18" s="29">
        <f t="shared" si="0"/>
        <v>700755.31070073694</v>
      </c>
      <c r="Q18" s="37">
        <f t="shared" si="1"/>
        <v>1.9662532562464086E-2</v>
      </c>
      <c r="R18" s="120">
        <f t="shared" si="5"/>
        <v>1.9662532562464086E-2</v>
      </c>
      <c r="S18" s="121">
        <f t="shared" si="6"/>
        <v>491058005475.28638</v>
      </c>
      <c r="T18" s="121">
        <f t="shared" si="7"/>
        <v>2522890.8322830647</v>
      </c>
      <c r="U18" s="121">
        <f t="shared" si="8"/>
        <v>6364978151617.9346</v>
      </c>
      <c r="V18"/>
      <c r="W18" t="s">
        <v>110</v>
      </c>
      <c r="X18" s="170">
        <v>0.87224039336468584</v>
      </c>
      <c r="AG18" s="98"/>
      <c r="AH18" s="98"/>
      <c r="AI18" s="98"/>
      <c r="AJ18" s="98"/>
    </row>
    <row r="19" spans="1:36" x14ac:dyDescent="0.2">
      <c r="A19" s="43">
        <v>42886</v>
      </c>
      <c r="B19" s="44">
        <v>36632679.980000012</v>
      </c>
      <c r="C19" s="44"/>
      <c r="D19" s="44">
        <f t="shared" si="2"/>
        <v>36632679.980000012</v>
      </c>
      <c r="E19" s="44"/>
      <c r="F19" s="44"/>
      <c r="G19" s="139">
        <f t="shared" si="3"/>
        <v>36632679.980000012</v>
      </c>
      <c r="H19" s="44">
        <f t="shared" ref="H19:I19" si="12">H7</f>
        <v>107.23999999999998</v>
      </c>
      <c r="I19" s="44">
        <f t="shared" si="12"/>
        <v>12.239999999999998</v>
      </c>
      <c r="J19" s="44">
        <v>31</v>
      </c>
      <c r="K19" s="142">
        <v>1</v>
      </c>
      <c r="L19" s="44">
        <v>28812.408721898231</v>
      </c>
      <c r="M19" s="44">
        <v>0</v>
      </c>
      <c r="N19" s="44">
        <v>27889652</v>
      </c>
      <c r="O19" s="44">
        <f t="shared" si="4"/>
        <v>36795767.907631569</v>
      </c>
      <c r="P19" s="29">
        <f t="shared" si="0"/>
        <v>163087.92763155699</v>
      </c>
      <c r="Q19" s="37">
        <f t="shared" si="1"/>
        <v>4.4519791541486053E-3</v>
      </c>
      <c r="R19" s="120">
        <f t="shared" si="5"/>
        <v>4.4519791541486053E-3</v>
      </c>
      <c r="S19" s="121">
        <f t="shared" si="6"/>
        <v>26597672139.155968</v>
      </c>
      <c r="T19" s="121">
        <f t="shared" si="7"/>
        <v>-537667.38306917995</v>
      </c>
      <c r="U19" s="121">
        <f t="shared" si="8"/>
        <v>289086214816.46033</v>
      </c>
      <c r="V19"/>
      <c r="W19" t="s">
        <v>111</v>
      </c>
      <c r="X19">
        <v>0.86425541794997873</v>
      </c>
      <c r="AG19" s="98"/>
      <c r="AH19" s="98"/>
      <c r="AI19" s="98"/>
      <c r="AJ19" s="98"/>
    </row>
    <row r="20" spans="1:36" x14ac:dyDescent="0.2">
      <c r="A20" s="43">
        <v>42916</v>
      </c>
      <c r="B20" s="44">
        <v>38109511.749999993</v>
      </c>
      <c r="C20" s="44"/>
      <c r="D20" s="44">
        <f t="shared" si="2"/>
        <v>38109511.749999993</v>
      </c>
      <c r="E20" s="44"/>
      <c r="F20" s="44"/>
      <c r="G20" s="139">
        <f t="shared" si="3"/>
        <v>38109511.749999993</v>
      </c>
      <c r="H20" s="44">
        <f t="shared" ref="H20:I20" si="13">H8</f>
        <v>16.089999999999996</v>
      </c>
      <c r="I20" s="44">
        <f t="shared" si="13"/>
        <v>52.410000000000004</v>
      </c>
      <c r="J20" s="44">
        <v>30</v>
      </c>
      <c r="K20" s="142">
        <v>0</v>
      </c>
      <c r="L20" s="44">
        <v>28828.743383863046</v>
      </c>
      <c r="M20" s="44">
        <v>0</v>
      </c>
      <c r="N20" s="44">
        <v>27692687</v>
      </c>
      <c r="O20" s="44">
        <f t="shared" si="4"/>
        <v>39956378.708046831</v>
      </c>
      <c r="P20" s="29">
        <f t="shared" si="0"/>
        <v>1846866.9580468386</v>
      </c>
      <c r="Q20" s="37">
        <f t="shared" si="1"/>
        <v>4.8462099702624474E-2</v>
      </c>
      <c r="R20" s="120">
        <f t="shared" si="5"/>
        <v>4.8462099702624474E-2</v>
      </c>
      <c r="S20" s="121">
        <f t="shared" si="6"/>
        <v>3410917560725.1831</v>
      </c>
      <c r="T20" s="121">
        <f t="shared" si="7"/>
        <v>1683779.0304152817</v>
      </c>
      <c r="U20" s="121">
        <f t="shared" si="8"/>
        <v>2835111823266.2261</v>
      </c>
      <c r="V20"/>
      <c r="W20" t="s">
        <v>112</v>
      </c>
      <c r="X20">
        <v>1680718.200641616</v>
      </c>
      <c r="AG20" s="98"/>
      <c r="AH20" s="98"/>
      <c r="AI20" s="98"/>
      <c r="AJ20" s="98"/>
    </row>
    <row r="21" spans="1:36" ht="13.5" thickBot="1" x14ac:dyDescent="0.25">
      <c r="A21" s="43">
        <v>42947</v>
      </c>
      <c r="B21" s="44">
        <v>43845120.699999988</v>
      </c>
      <c r="C21" s="44"/>
      <c r="D21" s="44">
        <f t="shared" si="2"/>
        <v>43845120.699999988</v>
      </c>
      <c r="E21" s="44"/>
      <c r="F21" s="44"/>
      <c r="G21" s="139">
        <f t="shared" si="3"/>
        <v>43845120.699999988</v>
      </c>
      <c r="H21" s="44">
        <f t="shared" ref="H21:I21" si="14">H9</f>
        <v>0.65</v>
      </c>
      <c r="I21" s="44">
        <f t="shared" si="14"/>
        <v>112.46</v>
      </c>
      <c r="J21" s="44">
        <v>31</v>
      </c>
      <c r="K21" s="142">
        <v>0</v>
      </c>
      <c r="L21" s="44">
        <v>28845.092148269669</v>
      </c>
      <c r="M21" s="44">
        <v>1</v>
      </c>
      <c r="N21" s="44">
        <v>21678298</v>
      </c>
      <c r="O21" s="44">
        <f t="shared" si="4"/>
        <v>46519786.100269221</v>
      </c>
      <c r="P21" s="29">
        <f t="shared" si="0"/>
        <v>2674665.4002692327</v>
      </c>
      <c r="Q21" s="37">
        <f t="shared" si="1"/>
        <v>6.1002578110572594E-2</v>
      </c>
      <c r="R21" s="120">
        <f t="shared" si="5"/>
        <v>6.1002578110572594E-2</v>
      </c>
      <c r="S21" s="121">
        <f t="shared" si="6"/>
        <v>7153835003397.375</v>
      </c>
      <c r="T21" s="121">
        <f t="shared" si="7"/>
        <v>827798.44222239405</v>
      </c>
      <c r="U21" s="121">
        <f t="shared" si="8"/>
        <v>685250260945.82227</v>
      </c>
      <c r="V21"/>
      <c r="W21" s="167" t="s">
        <v>113</v>
      </c>
      <c r="X21" s="167">
        <v>120</v>
      </c>
      <c r="AG21" s="98"/>
      <c r="AH21" s="98"/>
      <c r="AI21" s="98"/>
      <c r="AJ21" s="98"/>
    </row>
    <row r="22" spans="1:36" x14ac:dyDescent="0.2">
      <c r="A22" s="43">
        <v>42978</v>
      </c>
      <c r="B22" s="44">
        <v>43171748.199999966</v>
      </c>
      <c r="C22" s="44"/>
      <c r="D22" s="44">
        <f t="shared" si="2"/>
        <v>43171748.199999966</v>
      </c>
      <c r="E22" s="44"/>
      <c r="F22" s="44"/>
      <c r="G22" s="139">
        <f t="shared" si="3"/>
        <v>43171748.199999966</v>
      </c>
      <c r="H22" s="44">
        <f t="shared" ref="H22:I22" si="15">H10</f>
        <v>3.2599999999999993</v>
      </c>
      <c r="I22" s="44">
        <f t="shared" si="15"/>
        <v>112.46</v>
      </c>
      <c r="J22" s="44">
        <v>31</v>
      </c>
      <c r="K22" s="142">
        <v>0</v>
      </c>
      <c r="L22" s="44">
        <v>28861.455007674194</v>
      </c>
      <c r="M22" s="44">
        <v>1</v>
      </c>
      <c r="N22" s="44">
        <v>26185973</v>
      </c>
      <c r="O22" s="44">
        <f t="shared" si="4"/>
        <v>47536744.057409473</v>
      </c>
      <c r="P22" s="29">
        <f t="shared" si="0"/>
        <v>4364995.857409507</v>
      </c>
      <c r="Q22" s="37">
        <f t="shared" si="1"/>
        <v>0.10110769286404553</v>
      </c>
      <c r="R22" s="120">
        <f t="shared" si="5"/>
        <v>0.10110769286404553</v>
      </c>
      <c r="S22" s="121">
        <f t="shared" si="6"/>
        <v>19053188835202.156</v>
      </c>
      <c r="T22" s="121">
        <f t="shared" si="7"/>
        <v>1690330.4571402743</v>
      </c>
      <c r="U22" s="121">
        <f t="shared" si="8"/>
        <v>2857217054336.0488</v>
      </c>
      <c r="V22"/>
      <c r="AG22" s="98"/>
      <c r="AH22" s="98"/>
      <c r="AI22" s="98"/>
      <c r="AJ22" s="98"/>
    </row>
    <row r="23" spans="1:36" ht="13.5" thickBot="1" x14ac:dyDescent="0.25">
      <c r="A23" s="43">
        <v>43008</v>
      </c>
      <c r="B23" s="44">
        <v>38578980.680000037</v>
      </c>
      <c r="C23" s="44"/>
      <c r="D23" s="44">
        <f t="shared" si="2"/>
        <v>38578980.680000037</v>
      </c>
      <c r="E23" s="44"/>
      <c r="F23" s="44"/>
      <c r="G23" s="139">
        <f t="shared" si="3"/>
        <v>38578980.680000037</v>
      </c>
      <c r="H23" s="44">
        <f t="shared" ref="H23:I23" si="16">H11</f>
        <v>28.679999999999996</v>
      </c>
      <c r="I23" s="44">
        <f t="shared" si="16"/>
        <v>44.01</v>
      </c>
      <c r="J23" s="44">
        <v>30</v>
      </c>
      <c r="K23" s="142">
        <v>1</v>
      </c>
      <c r="L23" s="44">
        <v>28877.831954695208</v>
      </c>
      <c r="M23" s="44">
        <v>0</v>
      </c>
      <c r="N23" s="44">
        <v>24928173</v>
      </c>
      <c r="O23" s="44">
        <f t="shared" si="4"/>
        <v>36262397.595469303</v>
      </c>
      <c r="P23" s="29">
        <f t="shared" si="0"/>
        <v>-2316583.0845307335</v>
      </c>
      <c r="Q23" s="37">
        <f t="shared" si="1"/>
        <v>-6.004780436647688E-2</v>
      </c>
      <c r="R23" s="120">
        <f t="shared" si="5"/>
        <v>6.004780436647688E-2</v>
      </c>
      <c r="S23" s="121">
        <f t="shared" si="6"/>
        <v>5366557187533.9277</v>
      </c>
      <c r="T23" s="121">
        <f t="shared" si="7"/>
        <v>-6681578.9419402406</v>
      </c>
      <c r="U23" s="121">
        <f t="shared" si="8"/>
        <v>44643497157379.266</v>
      </c>
      <c r="V23"/>
      <c r="W23" t="s">
        <v>114</v>
      </c>
    </row>
    <row r="24" spans="1:36" x14ac:dyDescent="0.2">
      <c r="A24" s="43">
        <v>43039</v>
      </c>
      <c r="B24" s="44">
        <v>35892870.779999956</v>
      </c>
      <c r="C24" s="44"/>
      <c r="D24" s="44">
        <f t="shared" si="2"/>
        <v>35892870.779999956</v>
      </c>
      <c r="E24" s="44"/>
      <c r="F24" s="44"/>
      <c r="G24" s="139">
        <f t="shared" si="3"/>
        <v>35892870.779999956</v>
      </c>
      <c r="H24" s="44">
        <f t="shared" ref="H24:I24" si="17">H12</f>
        <v>141.75</v>
      </c>
      <c r="I24" s="44">
        <f t="shared" si="17"/>
        <v>6.5299999999999994</v>
      </c>
      <c r="J24" s="44">
        <v>31</v>
      </c>
      <c r="K24" s="142">
        <v>1</v>
      </c>
      <c r="L24" s="44">
        <v>28894.22298201354</v>
      </c>
      <c r="M24" s="44">
        <v>0</v>
      </c>
      <c r="N24" s="44">
        <v>24596657</v>
      </c>
      <c r="O24" s="44">
        <f t="shared" si="4"/>
        <v>36265523.925264031</v>
      </c>
      <c r="P24" s="29">
        <f t="shared" si="0"/>
        <v>372653.14526407421</v>
      </c>
      <c r="Q24" s="37">
        <f t="shared" si="1"/>
        <v>1.0382372241780173E-2</v>
      </c>
      <c r="R24" s="120">
        <f t="shared" si="5"/>
        <v>1.0382372241780173E-2</v>
      </c>
      <c r="S24" s="121">
        <f t="shared" si="6"/>
        <v>138870366675.20718</v>
      </c>
      <c r="T24" s="121">
        <f t="shared" si="7"/>
        <v>2689236.2297948077</v>
      </c>
      <c r="U24" s="121">
        <f t="shared" si="8"/>
        <v>7231991499640.9922</v>
      </c>
      <c r="V24"/>
      <c r="W24" s="168"/>
      <c r="X24" s="168" t="s">
        <v>118</v>
      </c>
      <c r="Y24" s="168" t="s">
        <v>119</v>
      </c>
      <c r="Z24" s="168" t="s">
        <v>120</v>
      </c>
      <c r="AA24" s="168" t="s">
        <v>121</v>
      </c>
      <c r="AB24" s="168" t="s">
        <v>122</v>
      </c>
    </row>
    <row r="25" spans="1:36" x14ac:dyDescent="0.2">
      <c r="A25" s="43">
        <v>43069</v>
      </c>
      <c r="B25" s="44">
        <v>38713504.909999996</v>
      </c>
      <c r="C25" s="44"/>
      <c r="D25" s="44">
        <f t="shared" si="2"/>
        <v>38713504.909999996</v>
      </c>
      <c r="E25" s="44"/>
      <c r="F25" s="44"/>
      <c r="G25" s="139">
        <f t="shared" si="3"/>
        <v>38713504.909999996</v>
      </c>
      <c r="H25" s="44">
        <f t="shared" ref="H25:I25" si="18">H13</f>
        <v>304.77999999999992</v>
      </c>
      <c r="I25" s="44">
        <f t="shared" si="18"/>
        <v>0.1</v>
      </c>
      <c r="J25" s="44">
        <v>30</v>
      </c>
      <c r="K25" s="142">
        <v>1</v>
      </c>
      <c r="L25" s="44">
        <v>28910.628082372026</v>
      </c>
      <c r="M25" s="44">
        <v>0</v>
      </c>
      <c r="N25" s="44">
        <v>26874868</v>
      </c>
      <c r="O25" s="44">
        <f t="shared" si="4"/>
        <v>37745750.422365479</v>
      </c>
      <c r="P25" s="29">
        <f t="shared" si="0"/>
        <v>-967754.48763451725</v>
      </c>
      <c r="Q25" s="37">
        <f t="shared" si="1"/>
        <v>-2.4997852555182592E-2</v>
      </c>
      <c r="R25" s="120">
        <f t="shared" si="5"/>
        <v>2.4997852555182592E-2</v>
      </c>
      <c r="S25" s="121">
        <f t="shared" si="6"/>
        <v>936548748336.74695</v>
      </c>
      <c r="T25" s="121">
        <f t="shared" si="7"/>
        <v>-1340407.6328985915</v>
      </c>
      <c r="U25" s="121">
        <f t="shared" si="8"/>
        <v>1796692622332.8052</v>
      </c>
      <c r="V25"/>
      <c r="W25" t="s">
        <v>115</v>
      </c>
      <c r="X25">
        <v>7</v>
      </c>
      <c r="Y25">
        <v>2159983620607846.5</v>
      </c>
      <c r="Z25">
        <v>308569088658263.81</v>
      </c>
      <c r="AA25">
        <v>109.23520086964189</v>
      </c>
      <c r="AB25">
        <v>4.9505600295765607E-47</v>
      </c>
    </row>
    <row r="26" spans="1:36" x14ac:dyDescent="0.2">
      <c r="A26" s="43">
        <v>43100</v>
      </c>
      <c r="B26" s="44">
        <v>43791007.450000025</v>
      </c>
      <c r="C26" s="44"/>
      <c r="D26" s="44">
        <f t="shared" si="2"/>
        <v>43791007.450000025</v>
      </c>
      <c r="E26" s="44"/>
      <c r="F26" s="44"/>
      <c r="G26" s="139">
        <f t="shared" si="3"/>
        <v>43791007.450000025</v>
      </c>
      <c r="H26" s="44">
        <f t="shared" ref="H26:I26" si="19">H14</f>
        <v>460.06000000000006</v>
      </c>
      <c r="I26" s="44">
        <f t="shared" si="19"/>
        <v>0</v>
      </c>
      <c r="J26" s="44">
        <v>31</v>
      </c>
      <c r="K26" s="142">
        <v>0</v>
      </c>
      <c r="L26" s="44">
        <v>28927.047248575294</v>
      </c>
      <c r="M26" s="44">
        <v>0</v>
      </c>
      <c r="N26" s="44">
        <v>23624013</v>
      </c>
      <c r="O26" s="44">
        <f t="shared" si="4"/>
        <v>42894217.547314763</v>
      </c>
      <c r="P26" s="29">
        <f t="shared" si="0"/>
        <v>-896789.90268526226</v>
      </c>
      <c r="Q26" s="37">
        <f t="shared" si="1"/>
        <v>-2.0478859814065817E-2</v>
      </c>
      <c r="R26" s="120">
        <f t="shared" si="5"/>
        <v>2.0478859814065817E-2</v>
      </c>
      <c r="S26" s="121">
        <f t="shared" si="6"/>
        <v>804232129558.24219</v>
      </c>
      <c r="T26" s="121">
        <f t="shared" si="7"/>
        <v>70964.58494925499</v>
      </c>
      <c r="U26" s="121">
        <f t="shared" si="8"/>
        <v>5035972317.0200281</v>
      </c>
      <c r="V26"/>
      <c r="W26" t="s">
        <v>116</v>
      </c>
      <c r="X26">
        <v>112</v>
      </c>
      <c r="Y26">
        <v>316379131036415</v>
      </c>
      <c r="Z26">
        <v>2824813669967.9912</v>
      </c>
    </row>
    <row r="27" spans="1:36" ht="13.5" thickBot="1" x14ac:dyDescent="0.25">
      <c r="A27" s="43">
        <v>43131</v>
      </c>
      <c r="B27" s="44">
        <v>47052385.459999971</v>
      </c>
      <c r="C27" s="44"/>
      <c r="D27" s="44">
        <f t="shared" si="2"/>
        <v>47052385.459999971</v>
      </c>
      <c r="E27" s="44"/>
      <c r="F27" s="44"/>
      <c r="G27" s="139">
        <f t="shared" si="3"/>
        <v>47052385.459999971</v>
      </c>
      <c r="H27" s="44">
        <f t="shared" ref="H27:I27" si="20">H15</f>
        <v>492.16999999999996</v>
      </c>
      <c r="I27" s="44">
        <f t="shared" si="20"/>
        <v>0</v>
      </c>
      <c r="J27" s="44">
        <v>31</v>
      </c>
      <c r="K27" s="142">
        <v>0</v>
      </c>
      <c r="L27" s="44">
        <v>28945.13763605143</v>
      </c>
      <c r="M27" s="44">
        <v>0</v>
      </c>
      <c r="N27" s="44">
        <v>24254768</v>
      </c>
      <c r="O27" s="44">
        <f t="shared" si="4"/>
        <v>43493291.01682429</v>
      </c>
      <c r="P27" s="29">
        <f t="shared" si="0"/>
        <v>-3559094.4431756809</v>
      </c>
      <c r="Q27" s="37">
        <f t="shared" si="1"/>
        <v>-7.5641105299567163E-2</v>
      </c>
      <c r="R27" s="120">
        <f t="shared" si="5"/>
        <v>7.5641105299567163E-2</v>
      </c>
      <c r="S27" s="121">
        <f t="shared" si="6"/>
        <v>12667153255444.01</v>
      </c>
      <c r="T27" s="121">
        <f t="shared" si="7"/>
        <v>-2662304.5404904187</v>
      </c>
      <c r="U27" s="121">
        <f t="shared" si="8"/>
        <v>7087865466315.8994</v>
      </c>
      <c r="V27"/>
      <c r="W27" s="167" t="s">
        <v>7</v>
      </c>
      <c r="X27" s="167">
        <v>119</v>
      </c>
      <c r="Y27" s="167">
        <v>2476362751644261.5</v>
      </c>
      <c r="Z27" s="167"/>
      <c r="AA27" s="167"/>
      <c r="AB27" s="167"/>
    </row>
    <row r="28" spans="1:36" ht="13.5" thickBot="1" x14ac:dyDescent="0.25">
      <c r="A28" s="43">
        <v>43159</v>
      </c>
      <c r="B28" s="44">
        <v>39540897.230000019</v>
      </c>
      <c r="C28" s="44"/>
      <c r="D28" s="44">
        <f t="shared" si="2"/>
        <v>39540897.230000019</v>
      </c>
      <c r="E28" s="44"/>
      <c r="F28" s="44"/>
      <c r="G28" s="139">
        <f t="shared" si="3"/>
        <v>39540897.230000019</v>
      </c>
      <c r="H28" s="44">
        <f t="shared" ref="H28:I28" si="21">H16</f>
        <v>420.35999999999996</v>
      </c>
      <c r="I28" s="44">
        <f t="shared" si="21"/>
        <v>0</v>
      </c>
      <c r="J28" s="44">
        <v>28</v>
      </c>
      <c r="K28" s="142">
        <v>0</v>
      </c>
      <c r="L28" s="44">
        <v>28963.243295069264</v>
      </c>
      <c r="M28" s="44">
        <v>0</v>
      </c>
      <c r="N28" s="44">
        <v>24396362</v>
      </c>
      <c r="O28" s="44">
        <f t="shared" si="4"/>
        <v>39854260.753731549</v>
      </c>
      <c r="P28" s="29">
        <f t="shared" si="0"/>
        <v>313363.52373152971</v>
      </c>
      <c r="Q28" s="37">
        <f t="shared" si="1"/>
        <v>7.9250483849359413E-3</v>
      </c>
      <c r="R28" s="120">
        <f t="shared" si="5"/>
        <v>7.9250483849359413E-3</v>
      </c>
      <c r="S28" s="121">
        <f t="shared" si="6"/>
        <v>98196698005.440979</v>
      </c>
      <c r="T28" s="121">
        <f t="shared" si="7"/>
        <v>3872457.9669072106</v>
      </c>
      <c r="U28" s="121">
        <f t="shared" si="8"/>
        <v>14995930705463.127</v>
      </c>
      <c r="V28"/>
    </row>
    <row r="29" spans="1:36" x14ac:dyDescent="0.2">
      <c r="A29" s="43">
        <v>43190</v>
      </c>
      <c r="B29" s="44">
        <v>41548740.249999993</v>
      </c>
      <c r="C29" s="44"/>
      <c r="D29" s="44">
        <f t="shared" si="2"/>
        <v>41548740.249999993</v>
      </c>
      <c r="E29" s="44"/>
      <c r="F29" s="44"/>
      <c r="G29" s="139">
        <f t="shared" si="3"/>
        <v>41548740.249999993</v>
      </c>
      <c r="H29" s="44">
        <f t="shared" ref="H29:I29" si="22">H17</f>
        <v>361.91</v>
      </c>
      <c r="I29" s="44">
        <f t="shared" si="22"/>
        <v>0</v>
      </c>
      <c r="J29" s="44">
        <v>31</v>
      </c>
      <c r="K29" s="142">
        <v>1</v>
      </c>
      <c r="L29" s="44">
        <v>28981.364235862318</v>
      </c>
      <c r="M29" s="44">
        <v>0</v>
      </c>
      <c r="N29" s="44">
        <v>27480792</v>
      </c>
      <c r="O29" s="44">
        <f t="shared" si="4"/>
        <v>39615280.526898295</v>
      </c>
      <c r="P29" s="29">
        <f t="shared" si="0"/>
        <v>-1933459.7231016979</v>
      </c>
      <c r="Q29" s="37">
        <f t="shared" si="1"/>
        <v>-4.6534737550838215E-2</v>
      </c>
      <c r="R29" s="120">
        <f t="shared" si="5"/>
        <v>4.6534737550838215E-2</v>
      </c>
      <c r="S29" s="121">
        <f t="shared" si="6"/>
        <v>3738266500856.4941</v>
      </c>
      <c r="T29" s="121">
        <f t="shared" si="7"/>
        <v>-2246823.2468332276</v>
      </c>
      <c r="U29" s="121">
        <f t="shared" si="8"/>
        <v>5048214702510.207</v>
      </c>
      <c r="V29"/>
      <c r="W29" s="168"/>
      <c r="X29" s="168" t="s">
        <v>123</v>
      </c>
      <c r="Y29" s="168" t="s">
        <v>112</v>
      </c>
      <c r="Z29" s="168" t="s">
        <v>124</v>
      </c>
      <c r="AA29" s="168" t="s">
        <v>125</v>
      </c>
      <c r="AB29" s="168" t="s">
        <v>126</v>
      </c>
      <c r="AC29" s="168" t="s">
        <v>127</v>
      </c>
      <c r="AD29" s="168" t="s">
        <v>128</v>
      </c>
      <c r="AE29" s="168" t="s">
        <v>129</v>
      </c>
    </row>
    <row r="30" spans="1:36" x14ac:dyDescent="0.2">
      <c r="A30" s="43">
        <v>43220</v>
      </c>
      <c r="B30" s="44">
        <v>38285930.12999998</v>
      </c>
      <c r="C30" s="44"/>
      <c r="D30" s="44">
        <f t="shared" si="2"/>
        <v>38285930.12999998</v>
      </c>
      <c r="E30" s="44"/>
      <c r="F30" s="44"/>
      <c r="G30" s="139">
        <f t="shared" si="3"/>
        <v>38285930.12999998</v>
      </c>
      <c r="H30" s="44">
        <f t="shared" ref="H30:I30" si="23">H18</f>
        <v>249.59</v>
      </c>
      <c r="I30" s="44">
        <f t="shared" si="23"/>
        <v>0.2</v>
      </c>
      <c r="J30" s="44">
        <v>30</v>
      </c>
      <c r="K30" s="142">
        <v>1</v>
      </c>
      <c r="L30" s="44">
        <v>28999.500468672315</v>
      </c>
      <c r="M30" s="44">
        <v>0</v>
      </c>
      <c r="N30" s="44">
        <v>26263629</v>
      </c>
      <c r="O30" s="44">
        <f t="shared" si="4"/>
        <v>36913834.086106546</v>
      </c>
      <c r="P30" s="29">
        <f t="shared" si="0"/>
        <v>-1372096.0438934341</v>
      </c>
      <c r="Q30" s="37">
        <f t="shared" si="1"/>
        <v>-3.5838127459212256E-2</v>
      </c>
      <c r="R30" s="120">
        <f t="shared" si="5"/>
        <v>3.5838127459212256E-2</v>
      </c>
      <c r="S30" s="121">
        <f t="shared" si="6"/>
        <v>1882647553668.0127</v>
      </c>
      <c r="T30" s="121">
        <f t="shared" si="7"/>
        <v>561363.67920826375</v>
      </c>
      <c r="U30" s="121">
        <f t="shared" si="8"/>
        <v>315129180334.23846</v>
      </c>
      <c r="V30"/>
      <c r="W30" t="s">
        <v>117</v>
      </c>
      <c r="X30">
        <v>-17926218.561173148</v>
      </c>
      <c r="Y30">
        <v>9468118.6854322236</v>
      </c>
      <c r="Z30">
        <v>-1.8933242343861483</v>
      </c>
      <c r="AA30">
        <v>6.0895323864080378E-2</v>
      </c>
      <c r="AB30">
        <v>-36686082.064392231</v>
      </c>
      <c r="AC30">
        <v>833644.9420459345</v>
      </c>
      <c r="AD30">
        <v>-36686082.064392231</v>
      </c>
      <c r="AE30">
        <v>833644.9420459345</v>
      </c>
    </row>
    <row r="31" spans="1:36" x14ac:dyDescent="0.2">
      <c r="A31" s="43">
        <v>43251</v>
      </c>
      <c r="B31" s="44">
        <v>36063657.63000001</v>
      </c>
      <c r="C31" s="44"/>
      <c r="D31" s="44">
        <f t="shared" si="2"/>
        <v>36063657.63000001</v>
      </c>
      <c r="E31" s="44"/>
      <c r="F31" s="44"/>
      <c r="G31" s="139">
        <f t="shared" si="3"/>
        <v>36063657.63000001</v>
      </c>
      <c r="H31" s="44">
        <f t="shared" ref="H31:I31" si="24">H19</f>
        <v>107.23999999999998</v>
      </c>
      <c r="I31" s="44">
        <f t="shared" si="24"/>
        <v>12.239999999999998</v>
      </c>
      <c r="J31" s="44">
        <v>31</v>
      </c>
      <c r="K31" s="142">
        <v>1</v>
      </c>
      <c r="L31" s="44">
        <v>29017.652003749172</v>
      </c>
      <c r="M31" s="44">
        <v>0</v>
      </c>
      <c r="N31" s="44">
        <v>28175765</v>
      </c>
      <c r="O31" s="44">
        <f t="shared" si="4"/>
        <v>37010767.769787446</v>
      </c>
      <c r="P31" s="29">
        <f t="shared" si="0"/>
        <v>947110.13978743553</v>
      </c>
      <c r="Q31" s="37">
        <f t="shared" si="1"/>
        <v>2.626217644101551E-2</v>
      </c>
      <c r="R31" s="120">
        <f t="shared" si="5"/>
        <v>2.626217644101551E-2</v>
      </c>
      <c r="S31" s="121">
        <f t="shared" si="6"/>
        <v>897017616888.17566</v>
      </c>
      <c r="T31" s="121">
        <f t="shared" si="7"/>
        <v>2319206.1836808696</v>
      </c>
      <c r="U31" s="121">
        <f t="shared" si="8"/>
        <v>5378717322423.584</v>
      </c>
      <c r="V31"/>
      <c r="W31" t="s">
        <v>2</v>
      </c>
      <c r="X31">
        <v>14016.485290118018</v>
      </c>
      <c r="Y31">
        <v>1280.3209744188978</v>
      </c>
      <c r="Z31">
        <v>10.947633890384177</v>
      </c>
      <c r="AA31">
        <v>2.0926367458345219E-19</v>
      </c>
      <c r="AB31">
        <v>11479.69339740945</v>
      </c>
      <c r="AC31">
        <v>16553.277182826587</v>
      </c>
      <c r="AD31">
        <v>11479.69339740945</v>
      </c>
      <c r="AE31">
        <v>16553.277182826587</v>
      </c>
    </row>
    <row r="32" spans="1:36" x14ac:dyDescent="0.2">
      <c r="A32" s="43">
        <v>43281</v>
      </c>
      <c r="B32" s="44">
        <v>38564071.070000008</v>
      </c>
      <c r="C32" s="44"/>
      <c r="D32" s="44">
        <f t="shared" si="2"/>
        <v>38564071.070000008</v>
      </c>
      <c r="E32" s="44"/>
      <c r="F32" s="44"/>
      <c r="G32" s="139">
        <f t="shared" si="3"/>
        <v>38564071.070000008</v>
      </c>
      <c r="H32" s="44">
        <f t="shared" ref="H32:I32" si="25">H20</f>
        <v>16.089999999999996</v>
      </c>
      <c r="I32" s="44">
        <f t="shared" si="25"/>
        <v>52.410000000000004</v>
      </c>
      <c r="J32" s="44">
        <v>30</v>
      </c>
      <c r="K32" s="142">
        <v>0</v>
      </c>
      <c r="L32" s="44">
        <v>29035.818851351021</v>
      </c>
      <c r="M32" s="44">
        <v>0</v>
      </c>
      <c r="N32" s="44">
        <v>28179726</v>
      </c>
      <c r="O32" s="44">
        <f t="shared" si="4"/>
        <v>40215903.060659185</v>
      </c>
      <c r="P32" s="29">
        <f t="shared" si="0"/>
        <v>1651831.9906591773</v>
      </c>
      <c r="Q32" s="37">
        <f t="shared" si="1"/>
        <v>4.2833444312993713E-2</v>
      </c>
      <c r="R32" s="120">
        <f t="shared" si="5"/>
        <v>4.2833444312993713E-2</v>
      </c>
      <c r="S32" s="121">
        <f t="shared" si="6"/>
        <v>2728548925365.0605</v>
      </c>
      <c r="T32" s="121">
        <f t="shared" si="7"/>
        <v>704721.85087174177</v>
      </c>
      <c r="U32" s="121">
        <f t="shared" si="8"/>
        <v>496632887096.09344</v>
      </c>
      <c r="V32"/>
      <c r="W32" t="s">
        <v>3</v>
      </c>
      <c r="X32">
        <v>64432.59038839928</v>
      </c>
      <c r="Y32">
        <v>7930.4888982771918</v>
      </c>
      <c r="Z32">
        <v>8.1246681276354256</v>
      </c>
      <c r="AA32">
        <v>6.5588280738811493E-13</v>
      </c>
      <c r="AB32">
        <v>48719.343207163431</v>
      </c>
      <c r="AC32">
        <v>80145.837569635129</v>
      </c>
      <c r="AD32">
        <v>48719.343207163431</v>
      </c>
      <c r="AE32">
        <v>80145.837569635129</v>
      </c>
    </row>
    <row r="33" spans="1:31" x14ac:dyDescent="0.2">
      <c r="A33" s="43">
        <v>43312</v>
      </c>
      <c r="B33" s="44">
        <v>49628857.740000024</v>
      </c>
      <c r="C33" s="44"/>
      <c r="D33" s="44">
        <f t="shared" si="2"/>
        <v>49628857.740000024</v>
      </c>
      <c r="E33" s="44"/>
      <c r="F33" s="44"/>
      <c r="G33" s="139">
        <f t="shared" si="3"/>
        <v>49628857.740000024</v>
      </c>
      <c r="H33" s="44">
        <f t="shared" ref="H33:I33" si="26">H21</f>
        <v>0.65</v>
      </c>
      <c r="I33" s="44">
        <f t="shared" si="26"/>
        <v>112.46</v>
      </c>
      <c r="J33" s="44">
        <v>31</v>
      </c>
      <c r="K33" s="142">
        <v>0</v>
      </c>
      <c r="L33" s="44">
        <v>29054.001021744221</v>
      </c>
      <c r="M33" s="44">
        <v>1</v>
      </c>
      <c r="N33" s="44">
        <v>24785543</v>
      </c>
      <c r="O33" s="44">
        <f t="shared" si="4"/>
        <v>47343435.307100229</v>
      </c>
      <c r="P33" s="29">
        <f t="shared" si="0"/>
        <v>-2285422.4328997955</v>
      </c>
      <c r="Q33" s="37">
        <f t="shared" si="1"/>
        <v>-4.605027270369319E-2</v>
      </c>
      <c r="R33" s="120">
        <f t="shared" si="5"/>
        <v>4.605027270369319E-2</v>
      </c>
      <c r="S33" s="121">
        <f t="shared" si="6"/>
        <v>5223155696801.6201</v>
      </c>
      <c r="T33" s="121">
        <f t="shared" si="7"/>
        <v>-3937254.4235589728</v>
      </c>
      <c r="U33" s="121">
        <f t="shared" si="8"/>
        <v>15501972395834.699</v>
      </c>
      <c r="V33"/>
      <c r="W33" t="s">
        <v>64</v>
      </c>
      <c r="X33">
        <v>892154.24600822199</v>
      </c>
      <c r="Y33">
        <v>209026.23965113424</v>
      </c>
      <c r="Z33">
        <v>4.2681447434409741</v>
      </c>
      <c r="AA33">
        <v>4.1432809410853953E-5</v>
      </c>
      <c r="AB33">
        <v>477995.54619388509</v>
      </c>
      <c r="AC33">
        <v>1306312.9458225588</v>
      </c>
      <c r="AD33">
        <v>477995.54619388509</v>
      </c>
      <c r="AE33">
        <v>1306312.9458225588</v>
      </c>
    </row>
    <row r="34" spans="1:31" x14ac:dyDescent="0.2">
      <c r="A34" s="43">
        <v>43343</v>
      </c>
      <c r="B34" s="44">
        <v>48629695.239999965</v>
      </c>
      <c r="C34" s="44"/>
      <c r="D34" s="44">
        <f t="shared" si="2"/>
        <v>48629695.239999965</v>
      </c>
      <c r="E34" s="44"/>
      <c r="F34" s="44"/>
      <c r="G34" s="139">
        <f t="shared" si="3"/>
        <v>48629695.239999965</v>
      </c>
      <c r="H34" s="44">
        <f t="shared" ref="H34:I34" si="27">H22</f>
        <v>3.2599999999999993</v>
      </c>
      <c r="I34" s="44">
        <f t="shared" si="27"/>
        <v>112.46</v>
      </c>
      <c r="J34" s="44">
        <v>31</v>
      </c>
      <c r="K34" s="142">
        <v>0</v>
      </c>
      <c r="L34" s="44">
        <v>29072.198525203348</v>
      </c>
      <c r="M34" s="44">
        <v>1</v>
      </c>
      <c r="N34" s="44">
        <v>28118914</v>
      </c>
      <c r="O34" s="44">
        <f t="shared" si="4"/>
        <v>48109555.372886397</v>
      </c>
      <c r="P34" s="29">
        <f t="shared" si="0"/>
        <v>-520139.86711356789</v>
      </c>
      <c r="Q34" s="37">
        <f t="shared" si="1"/>
        <v>-1.0695931046792393E-2</v>
      </c>
      <c r="R34" s="120">
        <f t="shared" si="5"/>
        <v>1.0695931046792393E-2</v>
      </c>
      <c r="S34" s="121">
        <f t="shared" si="6"/>
        <v>270545481360.92007</v>
      </c>
      <c r="T34" s="121">
        <f t="shared" si="7"/>
        <v>1765282.5657862276</v>
      </c>
      <c r="U34" s="121">
        <f t="shared" si="8"/>
        <v>3116222537068.8071</v>
      </c>
      <c r="V34"/>
      <c r="W34" t="s">
        <v>13</v>
      </c>
      <c r="X34">
        <v>-2772193.0013986034</v>
      </c>
      <c r="Y34">
        <v>407536.2917997787</v>
      </c>
      <c r="Z34">
        <v>-6.8023217985223585</v>
      </c>
      <c r="AA34">
        <v>5.2998822703458224E-10</v>
      </c>
      <c r="AB34">
        <v>-3579673.9235098897</v>
      </c>
      <c r="AC34">
        <v>-1964712.0792873171</v>
      </c>
      <c r="AD34">
        <v>-3579673.9235098897</v>
      </c>
      <c r="AE34">
        <v>-1964712.0792873171</v>
      </c>
    </row>
    <row r="35" spans="1:31" x14ac:dyDescent="0.2">
      <c r="A35" s="43">
        <v>43373</v>
      </c>
      <c r="B35" s="44">
        <v>41064153.550000027</v>
      </c>
      <c r="C35" s="44"/>
      <c r="D35" s="44">
        <f t="shared" si="2"/>
        <v>41064153.550000027</v>
      </c>
      <c r="E35" s="44"/>
      <c r="F35" s="44"/>
      <c r="G35" s="139">
        <f t="shared" si="3"/>
        <v>41064153.550000027</v>
      </c>
      <c r="H35" s="44">
        <f t="shared" ref="H35:I35" si="28">H23</f>
        <v>28.679999999999996</v>
      </c>
      <c r="I35" s="44">
        <f t="shared" si="28"/>
        <v>44.01</v>
      </c>
      <c r="J35" s="44">
        <v>30</v>
      </c>
      <c r="K35" s="142">
        <v>1</v>
      </c>
      <c r="L35" s="44">
        <v>29090.411372011204</v>
      </c>
      <c r="M35" s="44">
        <v>0</v>
      </c>
      <c r="N35" s="44">
        <v>26444395</v>
      </c>
      <c r="O35" s="44">
        <f t="shared" si="4"/>
        <v>36747081.835508689</v>
      </c>
      <c r="P35" s="29">
        <f t="shared" si="0"/>
        <v>-4317071.7144913375</v>
      </c>
      <c r="Q35" s="37">
        <f t="shared" si="1"/>
        <v>-0.10512993307495887</v>
      </c>
      <c r="R35" s="120">
        <f t="shared" si="5"/>
        <v>0.10512993307495887</v>
      </c>
      <c r="S35" s="121">
        <f t="shared" si="6"/>
        <v>18637108188061.176</v>
      </c>
      <c r="T35" s="121">
        <f t="shared" si="7"/>
        <v>-3796931.8473777696</v>
      </c>
      <c r="U35" s="121">
        <f t="shared" si="8"/>
        <v>14416691453631.563</v>
      </c>
      <c r="V35"/>
      <c r="W35" t="s">
        <v>78</v>
      </c>
      <c r="X35">
        <v>748.13707953307812</v>
      </c>
      <c r="Y35">
        <v>266.8215588411008</v>
      </c>
      <c r="Z35">
        <v>2.8038854235860802</v>
      </c>
      <c r="AA35">
        <v>5.95303744023806E-3</v>
      </c>
      <c r="AB35">
        <v>219.464363243962</v>
      </c>
      <c r="AC35">
        <v>1276.8097958221942</v>
      </c>
      <c r="AD35">
        <v>219.464363243962</v>
      </c>
      <c r="AE35">
        <v>1276.8097958221942</v>
      </c>
    </row>
    <row r="36" spans="1:31" x14ac:dyDescent="0.2">
      <c r="A36" s="43">
        <v>43404</v>
      </c>
      <c r="B36" s="44">
        <v>37443471.689999975</v>
      </c>
      <c r="C36" s="44"/>
      <c r="D36" s="44">
        <f t="shared" si="2"/>
        <v>37443471.689999975</v>
      </c>
      <c r="E36" s="44"/>
      <c r="F36" s="44"/>
      <c r="G36" s="139">
        <f t="shared" si="3"/>
        <v>37443471.689999975</v>
      </c>
      <c r="H36" s="44">
        <f t="shared" ref="H36:I36" si="29">H24</f>
        <v>141.75</v>
      </c>
      <c r="I36" s="44">
        <f t="shared" si="29"/>
        <v>6.5299999999999994</v>
      </c>
      <c r="J36" s="44">
        <v>31</v>
      </c>
      <c r="K36" s="142">
        <v>1</v>
      </c>
      <c r="L36" s="44">
        <v>29108.639572458815</v>
      </c>
      <c r="M36" s="44">
        <v>0</v>
      </c>
      <c r="N36" s="44">
        <v>28462067</v>
      </c>
      <c r="O36" s="44">
        <f t="shared" si="4"/>
        <v>37256128.105002783</v>
      </c>
      <c r="P36" s="29">
        <f t="shared" si="0"/>
        <v>-187343.58499719203</v>
      </c>
      <c r="Q36" s="37">
        <f t="shared" si="1"/>
        <v>-5.0033711229620264E-3</v>
      </c>
      <c r="R36" s="120">
        <f t="shared" si="5"/>
        <v>5.0033711229620264E-3</v>
      </c>
      <c r="S36" s="121">
        <f t="shared" si="6"/>
        <v>35097618839.600113</v>
      </c>
      <c r="T36" s="121">
        <f t="shared" si="7"/>
        <v>4129728.1294941455</v>
      </c>
      <c r="U36" s="121">
        <f t="shared" si="8"/>
        <v>17054654423535.215</v>
      </c>
      <c r="V36"/>
      <c r="W36" t="s">
        <v>143</v>
      </c>
      <c r="X36">
        <v>3297996.3985444172</v>
      </c>
      <c r="Y36">
        <v>818804.13850697095</v>
      </c>
      <c r="Z36">
        <v>4.0278208712502002</v>
      </c>
      <c r="AA36">
        <v>1.0282870965791121E-4</v>
      </c>
      <c r="AB36">
        <v>1675640.9566026323</v>
      </c>
      <c r="AC36">
        <v>4920351.8404862024</v>
      </c>
      <c r="AD36">
        <v>1675640.9566026323</v>
      </c>
      <c r="AE36">
        <v>4920351.8404862024</v>
      </c>
    </row>
    <row r="37" spans="1:31" ht="13.5" thickBot="1" x14ac:dyDescent="0.25">
      <c r="A37" s="43">
        <v>43434</v>
      </c>
      <c r="B37" s="44">
        <v>39843675.400000006</v>
      </c>
      <c r="C37" s="44"/>
      <c r="D37" s="44">
        <f t="shared" si="2"/>
        <v>39843675.400000006</v>
      </c>
      <c r="E37" s="44"/>
      <c r="F37" s="44"/>
      <c r="G37" s="139">
        <f t="shared" si="3"/>
        <v>39843675.400000006</v>
      </c>
      <c r="H37" s="44">
        <f t="shared" ref="H37:I37" si="30">H25</f>
        <v>304.77999999999992</v>
      </c>
      <c r="I37" s="44">
        <f t="shared" si="30"/>
        <v>0.1</v>
      </c>
      <c r="J37" s="44">
        <v>30</v>
      </c>
      <c r="K37" s="142">
        <v>1</v>
      </c>
      <c r="L37" s="44">
        <v>29126.883136845467</v>
      </c>
      <c r="M37" s="44">
        <v>0</v>
      </c>
      <c r="N37" s="44">
        <v>27990486</v>
      </c>
      <c r="O37" s="44">
        <f t="shared" si="4"/>
        <v>38147145.052435599</v>
      </c>
      <c r="P37" s="29">
        <f t="shared" si="0"/>
        <v>-1696530.3475644067</v>
      </c>
      <c r="Q37" s="37">
        <f t="shared" si="1"/>
        <v>-4.2579664916264387E-2</v>
      </c>
      <c r="R37" s="120">
        <f t="shared" si="5"/>
        <v>4.2579664916264387E-2</v>
      </c>
      <c r="S37" s="121">
        <f t="shared" si="6"/>
        <v>2878215220207.0063</v>
      </c>
      <c r="T37" s="121">
        <f t="shared" si="7"/>
        <v>-1509186.7625672147</v>
      </c>
      <c r="U37" s="121">
        <f t="shared" si="8"/>
        <v>2277644684308.1104</v>
      </c>
      <c r="V37"/>
      <c r="W37" s="167" t="s">
        <v>144</v>
      </c>
      <c r="X37" s="167">
        <v>0.21477441667496774</v>
      </c>
      <c r="Y37" s="167">
        <v>6.1708932887355065E-2</v>
      </c>
      <c r="Z37" s="167">
        <v>3.4804428893142911</v>
      </c>
      <c r="AA37" s="167">
        <v>7.1443186964108144E-4</v>
      </c>
      <c r="AB37" s="167">
        <v>9.2506076325869047E-2</v>
      </c>
      <c r="AC37" s="167">
        <v>0.33704275702406644</v>
      </c>
      <c r="AD37" s="167">
        <v>9.2506076325869047E-2</v>
      </c>
      <c r="AE37" s="167">
        <v>0.33704275702406644</v>
      </c>
    </row>
    <row r="38" spans="1:31" x14ac:dyDescent="0.2">
      <c r="A38" s="43">
        <v>43465</v>
      </c>
      <c r="B38" s="44">
        <v>41914947.409999989</v>
      </c>
      <c r="C38" s="44"/>
      <c r="D38" s="44">
        <f t="shared" si="2"/>
        <v>41914947.409999989</v>
      </c>
      <c r="E38" s="44"/>
      <c r="F38" s="44"/>
      <c r="G38" s="139">
        <f t="shared" si="3"/>
        <v>41914947.409999989</v>
      </c>
      <c r="H38" s="44">
        <f t="shared" ref="H38:I38" si="31">H26</f>
        <v>460.06000000000006</v>
      </c>
      <c r="I38" s="44">
        <f t="shared" si="31"/>
        <v>0</v>
      </c>
      <c r="J38" s="44">
        <v>31</v>
      </c>
      <c r="K38" s="142">
        <v>0</v>
      </c>
      <c r="L38" s="44">
        <v>29145.142075478685</v>
      </c>
      <c r="M38" s="44">
        <v>0</v>
      </c>
      <c r="N38" s="44">
        <v>24418226</v>
      </c>
      <c r="O38" s="44">
        <f t="shared" si="4"/>
        <v>43227959.00796622</v>
      </c>
      <c r="P38" s="29">
        <f t="shared" si="0"/>
        <v>1313011.5979662314</v>
      </c>
      <c r="Q38" s="37">
        <f t="shared" si="1"/>
        <v>3.132561721055567E-2</v>
      </c>
      <c r="R38" s="120">
        <f t="shared" si="5"/>
        <v>3.132561721055567E-2</v>
      </c>
      <c r="S38" s="121">
        <f t="shared" si="6"/>
        <v>1723999456393.8364</v>
      </c>
      <c r="T38" s="121">
        <f t="shared" si="7"/>
        <v>3009541.9455306381</v>
      </c>
      <c r="U38" s="121">
        <f t="shared" si="8"/>
        <v>9057342721908.3379</v>
      </c>
      <c r="V38"/>
    </row>
    <row r="39" spans="1:31" x14ac:dyDescent="0.2">
      <c r="A39" s="43">
        <v>43496</v>
      </c>
      <c r="B39" s="44">
        <v>46622026.859999999</v>
      </c>
      <c r="C39" s="44"/>
      <c r="D39" s="44">
        <f t="shared" si="2"/>
        <v>46622026.859999999</v>
      </c>
      <c r="E39" s="44"/>
      <c r="F39" s="44"/>
      <c r="G39" s="139">
        <f t="shared" si="3"/>
        <v>46622026.859999999</v>
      </c>
      <c r="H39" s="44">
        <f t="shared" ref="H39:I39" si="32">H27</f>
        <v>492.16999999999996</v>
      </c>
      <c r="I39" s="44">
        <f t="shared" si="32"/>
        <v>0</v>
      </c>
      <c r="J39" s="44">
        <v>31</v>
      </c>
      <c r="K39" s="142">
        <v>0</v>
      </c>
      <c r="L39" s="44">
        <v>29169.63392528757</v>
      </c>
      <c r="M39" s="44">
        <v>0</v>
      </c>
      <c r="N39" s="44">
        <v>25785115</v>
      </c>
      <c r="O39" s="44">
        <f t="shared" si="4"/>
        <v>43989924.399254724</v>
      </c>
      <c r="P39" s="29">
        <f t="shared" si="0"/>
        <v>-2632102.460745275</v>
      </c>
      <c r="Q39" s="37">
        <f t="shared" si="1"/>
        <v>-5.6456199741146885E-2</v>
      </c>
      <c r="R39" s="120">
        <f t="shared" si="5"/>
        <v>5.6456199741146885E-2</v>
      </c>
      <c r="S39" s="121">
        <f t="shared" si="6"/>
        <v>6927963363861.332</v>
      </c>
      <c r="T39" s="121">
        <f t="shared" si="7"/>
        <v>-3945114.0587115064</v>
      </c>
      <c r="U39" s="121">
        <f t="shared" si="8"/>
        <v>15563924936243.176</v>
      </c>
      <c r="V39"/>
      <c r="W39" s="39" t="s">
        <v>102</v>
      </c>
      <c r="X39" s="137">
        <f>R123</f>
        <v>3.4886353089064091E-2</v>
      </c>
    </row>
    <row r="40" spans="1:31" x14ac:dyDescent="0.2">
      <c r="A40" s="43">
        <v>43524</v>
      </c>
      <c r="B40" s="44">
        <v>41188691.579999998</v>
      </c>
      <c r="C40" s="44"/>
      <c r="D40" s="44">
        <f t="shared" si="2"/>
        <v>41188691.579999998</v>
      </c>
      <c r="E40" s="44"/>
      <c r="F40" s="44"/>
      <c r="G40" s="139">
        <f t="shared" si="3"/>
        <v>41188691.579999998</v>
      </c>
      <c r="H40" s="44">
        <f t="shared" ref="H40:I40" si="33">H28</f>
        <v>420.35999999999996</v>
      </c>
      <c r="I40" s="44">
        <f t="shared" si="33"/>
        <v>0</v>
      </c>
      <c r="J40" s="44">
        <v>28</v>
      </c>
      <c r="K40" s="142">
        <v>0</v>
      </c>
      <c r="L40" s="44">
        <v>29194.153487885429</v>
      </c>
      <c r="M40" s="44">
        <v>0</v>
      </c>
      <c r="N40" s="44">
        <v>24283797</v>
      </c>
      <c r="O40" s="44">
        <f t="shared" si="4"/>
        <v>40002837.148806438</v>
      </c>
      <c r="P40" s="29">
        <f t="shared" si="0"/>
        <v>-1185854.4311935604</v>
      </c>
      <c r="Q40" s="37">
        <f t="shared" si="1"/>
        <v>-2.8790776926970314E-2</v>
      </c>
      <c r="R40" s="120">
        <f t="shared" si="5"/>
        <v>2.8790776926970314E-2</v>
      </c>
      <c r="S40" s="121">
        <f t="shared" si="6"/>
        <v>1406250731981.4026</v>
      </c>
      <c r="T40" s="121">
        <f t="shared" si="7"/>
        <v>1446248.0295517147</v>
      </c>
      <c r="U40" s="121">
        <f t="shared" si="8"/>
        <v>2091633362982.2173</v>
      </c>
      <c r="V40"/>
    </row>
    <row r="41" spans="1:31" x14ac:dyDescent="0.2">
      <c r="A41" s="43">
        <v>43555</v>
      </c>
      <c r="B41" s="44">
        <v>42070897.649999976</v>
      </c>
      <c r="C41" s="44"/>
      <c r="D41" s="44">
        <f t="shared" si="2"/>
        <v>42070897.649999976</v>
      </c>
      <c r="E41" s="44"/>
      <c r="F41" s="44"/>
      <c r="G41" s="139">
        <f t="shared" si="3"/>
        <v>42070897.649999976</v>
      </c>
      <c r="H41" s="44">
        <f t="shared" ref="H41:I41" si="34">H29</f>
        <v>361.91</v>
      </c>
      <c r="I41" s="44">
        <f t="shared" si="34"/>
        <v>0</v>
      </c>
      <c r="J41" s="44">
        <v>31</v>
      </c>
      <c r="K41" s="142">
        <v>1</v>
      </c>
      <c r="L41" s="44">
        <v>29218.700770366631</v>
      </c>
      <c r="M41" s="44">
        <v>0</v>
      </c>
      <c r="N41" s="44">
        <v>27688795</v>
      </c>
      <c r="O41" s="44">
        <f t="shared" si="4"/>
        <v>39837514.511680499</v>
      </c>
      <c r="P41" s="29">
        <f t="shared" si="0"/>
        <v>-2233383.1383194774</v>
      </c>
      <c r="Q41" s="37">
        <f t="shared" si="1"/>
        <v>-5.3086177454534977E-2</v>
      </c>
      <c r="R41" s="120">
        <f t="shared" si="5"/>
        <v>5.3086177454534977E-2</v>
      </c>
      <c r="S41" s="121">
        <f t="shared" si="6"/>
        <v>4988000242529.7578</v>
      </c>
      <c r="T41" s="121">
        <f t="shared" si="7"/>
        <v>-1047528.7071259171</v>
      </c>
      <c r="U41" s="121">
        <f t="shared" si="8"/>
        <v>1097316392252.8954</v>
      </c>
      <c r="V41"/>
      <c r="W41" t="s">
        <v>103</v>
      </c>
      <c r="X41" s="125">
        <f>U123</f>
        <v>802728280653233</v>
      </c>
    </row>
    <row r="42" spans="1:31" x14ac:dyDescent="0.2">
      <c r="A42" s="43">
        <v>43585</v>
      </c>
      <c r="B42" s="44">
        <v>36296821.840000033</v>
      </c>
      <c r="C42" s="44"/>
      <c r="D42" s="44">
        <f t="shared" si="2"/>
        <v>36296821.840000033</v>
      </c>
      <c r="E42" s="44"/>
      <c r="F42" s="44"/>
      <c r="G42" s="139">
        <f t="shared" si="3"/>
        <v>36296821.840000033</v>
      </c>
      <c r="H42" s="44">
        <f t="shared" ref="H42:I42" si="35">H30</f>
        <v>249.59</v>
      </c>
      <c r="I42" s="44">
        <f t="shared" si="35"/>
        <v>0.2</v>
      </c>
      <c r="J42" s="44">
        <v>30</v>
      </c>
      <c r="K42" s="142">
        <v>1</v>
      </c>
      <c r="L42" s="44">
        <v>29243.275779915406</v>
      </c>
      <c r="M42" s="44">
        <v>0</v>
      </c>
      <c r="N42" s="44">
        <v>26428544</v>
      </c>
      <c r="O42" s="44">
        <f t="shared" si="4"/>
        <v>37131630.958448172</v>
      </c>
      <c r="P42" s="29">
        <f t="shared" si="0"/>
        <v>834809.11844813824</v>
      </c>
      <c r="Q42" s="37">
        <f t="shared" si="1"/>
        <v>2.2999510043277594E-2</v>
      </c>
      <c r="R42" s="120">
        <f t="shared" si="5"/>
        <v>2.2999510043277594E-2</v>
      </c>
      <c r="S42" s="121">
        <f t="shared" si="6"/>
        <v>696906264244.15771</v>
      </c>
      <c r="T42" s="121">
        <f t="shared" si="7"/>
        <v>3068192.2567676157</v>
      </c>
      <c r="U42" s="121">
        <f t="shared" si="8"/>
        <v>9413803724488.7539</v>
      </c>
      <c r="V42"/>
      <c r="W42" t="s">
        <v>104</v>
      </c>
      <c r="X42" s="125">
        <f>S123</f>
        <v>425379043222253.69</v>
      </c>
    </row>
    <row r="43" spans="1:31" x14ac:dyDescent="0.2">
      <c r="A43" s="43">
        <v>43616</v>
      </c>
      <c r="B43" s="44">
        <v>35335301.459999986</v>
      </c>
      <c r="C43" s="44"/>
      <c r="D43" s="44">
        <f t="shared" si="2"/>
        <v>35335301.459999986</v>
      </c>
      <c r="E43" s="44"/>
      <c r="F43" s="44"/>
      <c r="G43" s="139">
        <f t="shared" si="3"/>
        <v>35335301.459999986</v>
      </c>
      <c r="H43" s="44">
        <f t="shared" ref="H43:I43" si="36">H31</f>
        <v>107.23999999999998</v>
      </c>
      <c r="I43" s="44">
        <f t="shared" si="36"/>
        <v>12.239999999999998</v>
      </c>
      <c r="J43" s="44">
        <v>31</v>
      </c>
      <c r="K43" s="142">
        <v>1</v>
      </c>
      <c r="L43" s="44">
        <v>29267.878523805579</v>
      </c>
      <c r="M43" s="44">
        <v>0</v>
      </c>
      <c r="N43" s="44">
        <v>29199081</v>
      </c>
      <c r="O43" s="44">
        <f t="shared" si="4"/>
        <v>37417753.60469833</v>
      </c>
      <c r="P43" s="29">
        <f t="shared" si="0"/>
        <v>2082452.1446983442</v>
      </c>
      <c r="Q43" s="37">
        <f t="shared" si="1"/>
        <v>5.8934042123730192E-2</v>
      </c>
      <c r="R43" s="120">
        <f t="shared" si="5"/>
        <v>5.8934042123730192E-2</v>
      </c>
      <c r="S43" s="121">
        <f t="shared" si="6"/>
        <v>4336606934958.7334</v>
      </c>
      <c r="T43" s="121">
        <f t="shared" si="7"/>
        <v>1247643.0262502059</v>
      </c>
      <c r="U43" s="121">
        <f t="shared" si="8"/>
        <v>1556613120950.772</v>
      </c>
      <c r="V43"/>
    </row>
    <row r="44" spans="1:31" x14ac:dyDescent="0.2">
      <c r="A44" s="43">
        <v>43646</v>
      </c>
      <c r="B44" s="44">
        <v>36918421.580000013</v>
      </c>
      <c r="C44" s="44"/>
      <c r="D44" s="44">
        <f t="shared" si="2"/>
        <v>36918421.580000013</v>
      </c>
      <c r="E44" s="44"/>
      <c r="F44" s="44"/>
      <c r="G44" s="139">
        <f t="shared" si="3"/>
        <v>36918421.580000013</v>
      </c>
      <c r="H44" s="44">
        <f t="shared" ref="H44:I44" si="37">H32</f>
        <v>16.089999999999996</v>
      </c>
      <c r="I44" s="44">
        <f t="shared" si="37"/>
        <v>52.410000000000004</v>
      </c>
      <c r="J44" s="44">
        <v>30</v>
      </c>
      <c r="K44" s="142">
        <v>0</v>
      </c>
      <c r="L44" s="44">
        <v>29292.509009400277</v>
      </c>
      <c r="M44" s="44">
        <v>0</v>
      </c>
      <c r="N44" s="44">
        <v>27741318</v>
      </c>
      <c r="O44" s="44">
        <f t="shared" si="4"/>
        <v>40313783.663381405</v>
      </c>
      <c r="P44" s="29">
        <f t="shared" si="0"/>
        <v>3395362.0833813921</v>
      </c>
      <c r="Q44" s="37">
        <f t="shared" si="1"/>
        <v>9.1969318786390836E-2</v>
      </c>
      <c r="R44" s="120">
        <f t="shared" si="5"/>
        <v>9.1969318786390836E-2</v>
      </c>
      <c r="S44" s="121">
        <f t="shared" si="6"/>
        <v>11528483677264.027</v>
      </c>
      <c r="T44" s="121">
        <f t="shared" si="7"/>
        <v>1312909.9386830479</v>
      </c>
      <c r="U44" s="121">
        <f t="shared" si="8"/>
        <v>1723732507092.7246</v>
      </c>
      <c r="V44"/>
      <c r="W44" t="s">
        <v>105</v>
      </c>
      <c r="X44" s="138">
        <f>X41/X42</f>
        <v>1.8870893934326247</v>
      </c>
    </row>
    <row r="45" spans="1:31" x14ac:dyDescent="0.2">
      <c r="A45" s="43">
        <v>43677</v>
      </c>
      <c r="B45" s="44">
        <v>48958080.650000021</v>
      </c>
      <c r="C45" s="44"/>
      <c r="D45" s="44">
        <f t="shared" si="2"/>
        <v>48958080.650000021</v>
      </c>
      <c r="E45" s="44"/>
      <c r="F45" s="44"/>
      <c r="G45" s="139">
        <f t="shared" si="3"/>
        <v>48958080.650000021</v>
      </c>
      <c r="H45" s="44">
        <f t="shared" ref="H45:I45" si="38">H33</f>
        <v>0.65</v>
      </c>
      <c r="I45" s="44">
        <f t="shared" si="38"/>
        <v>112.46</v>
      </c>
      <c r="J45" s="44">
        <v>31</v>
      </c>
      <c r="K45" s="142">
        <v>0</v>
      </c>
      <c r="L45" s="44">
        <v>29317.167244151682</v>
      </c>
      <c r="M45" s="44">
        <v>1</v>
      </c>
      <c r="N45" s="44">
        <v>24905053</v>
      </c>
      <c r="O45" s="44">
        <f t="shared" si="4"/>
        <v>47565987.406700723</v>
      </c>
      <c r="P45" s="29">
        <f t="shared" si="0"/>
        <v>-1392093.243299298</v>
      </c>
      <c r="Q45" s="37">
        <f t="shared" si="1"/>
        <v>-2.8434391724858139E-2</v>
      </c>
      <c r="R45" s="120">
        <f t="shared" si="5"/>
        <v>2.8434391724858139E-2</v>
      </c>
      <c r="S45" s="121">
        <f t="shared" si="6"/>
        <v>1937923598039.5583</v>
      </c>
      <c r="T45" s="121">
        <f t="shared" si="7"/>
        <v>-4787455.3266806901</v>
      </c>
      <c r="U45" s="121">
        <f t="shared" si="8"/>
        <v>22919728504963.313</v>
      </c>
      <c r="V45"/>
    </row>
    <row r="46" spans="1:31" x14ac:dyDescent="0.2">
      <c r="A46" s="43">
        <v>43708</v>
      </c>
      <c r="B46" s="44">
        <v>45777930.170000002</v>
      </c>
      <c r="C46" s="44"/>
      <c r="D46" s="44">
        <f t="shared" si="2"/>
        <v>45777930.170000002</v>
      </c>
      <c r="E46" s="44"/>
      <c r="F46" s="44"/>
      <c r="G46" s="139">
        <f t="shared" si="3"/>
        <v>45777930.170000002</v>
      </c>
      <c r="H46" s="44">
        <f t="shared" ref="H46:I46" si="39">H34</f>
        <v>3.2599999999999993</v>
      </c>
      <c r="I46" s="44">
        <f t="shared" si="39"/>
        <v>112.46</v>
      </c>
      <c r="J46" s="44">
        <v>31</v>
      </c>
      <c r="K46" s="142">
        <v>0</v>
      </c>
      <c r="L46" s="44">
        <v>29341.853235600767</v>
      </c>
      <c r="M46" s="44">
        <v>1</v>
      </c>
      <c r="N46" s="44">
        <v>27300101</v>
      </c>
      <c r="O46" s="44">
        <f t="shared" si="4"/>
        <v>48135433.975964576</v>
      </c>
      <c r="P46" s="29">
        <f t="shared" si="0"/>
        <v>2357503.8059645742</v>
      </c>
      <c r="Q46" s="37">
        <f t="shared" si="1"/>
        <v>5.1498698110853752E-2</v>
      </c>
      <c r="R46" s="120">
        <f t="shared" si="5"/>
        <v>5.1498698110853752E-2</v>
      </c>
      <c r="S46" s="121">
        <f t="shared" si="6"/>
        <v>5557824195137.4531</v>
      </c>
      <c r="T46" s="121">
        <f t="shared" si="7"/>
        <v>3749597.0492638722</v>
      </c>
      <c r="U46" s="121">
        <f t="shared" si="8"/>
        <v>14059478031848.338</v>
      </c>
      <c r="V46"/>
    </row>
    <row r="47" spans="1:31" x14ac:dyDescent="0.2">
      <c r="A47" s="43">
        <v>43738</v>
      </c>
      <c r="B47" s="44">
        <v>37514501.140000001</v>
      </c>
      <c r="C47" s="44"/>
      <c r="D47" s="44">
        <f t="shared" si="2"/>
        <v>37514501.140000001</v>
      </c>
      <c r="E47" s="44"/>
      <c r="F47" s="44"/>
      <c r="G47" s="139">
        <f t="shared" si="3"/>
        <v>37514501.140000001</v>
      </c>
      <c r="H47" s="44">
        <f t="shared" ref="H47:I47" si="40">H35</f>
        <v>28.679999999999996</v>
      </c>
      <c r="I47" s="44">
        <f t="shared" si="40"/>
        <v>44.01</v>
      </c>
      <c r="J47" s="44">
        <v>30</v>
      </c>
      <c r="K47" s="142">
        <v>1</v>
      </c>
      <c r="L47" s="44">
        <v>29366.566991376993</v>
      </c>
      <c r="M47" s="44">
        <v>0</v>
      </c>
      <c r="N47" s="44">
        <v>26985608</v>
      </c>
      <c r="O47" s="44">
        <f t="shared" si="4"/>
        <v>37069922.800449565</v>
      </c>
      <c r="P47" s="29">
        <f t="shared" si="0"/>
        <v>-444578.33955043554</v>
      </c>
      <c r="Q47" s="37">
        <f t="shared" si="1"/>
        <v>-1.1850839703060903E-2</v>
      </c>
      <c r="R47" s="120">
        <f t="shared" si="5"/>
        <v>1.1850839703060903E-2</v>
      </c>
      <c r="S47" s="121">
        <f t="shared" si="6"/>
        <v>197649899997.42236</v>
      </c>
      <c r="T47" s="121">
        <f t="shared" si="7"/>
        <v>-2802082.1455150098</v>
      </c>
      <c r="U47" s="121">
        <f t="shared" si="8"/>
        <v>7851664350214</v>
      </c>
      <c r="V47"/>
    </row>
    <row r="48" spans="1:31" x14ac:dyDescent="0.2">
      <c r="A48" s="43">
        <v>43769</v>
      </c>
      <c r="B48" s="44">
        <v>36374484.030000001</v>
      </c>
      <c r="C48" s="44"/>
      <c r="D48" s="44">
        <f t="shared" si="2"/>
        <v>36374484.030000001</v>
      </c>
      <c r="E48" s="44"/>
      <c r="F48" s="44"/>
      <c r="G48" s="139">
        <f t="shared" si="3"/>
        <v>36374484.030000001</v>
      </c>
      <c r="H48" s="44">
        <f t="shared" ref="H48:I48" si="41">H36</f>
        <v>141.75</v>
      </c>
      <c r="I48" s="44">
        <f t="shared" si="41"/>
        <v>6.5299999999999994</v>
      </c>
      <c r="J48" s="44">
        <v>31</v>
      </c>
      <c r="K48" s="142">
        <v>1</v>
      </c>
      <c r="L48" s="44">
        <v>29391.308519198094</v>
      </c>
      <c r="M48" s="44">
        <v>0</v>
      </c>
      <c r="N48" s="44">
        <v>27257415</v>
      </c>
      <c r="O48" s="44">
        <f t="shared" si="4"/>
        <v>37208874.794694662</v>
      </c>
      <c r="P48" s="29">
        <f t="shared" si="0"/>
        <v>834390.7646946609</v>
      </c>
      <c r="Q48" s="37">
        <f t="shared" si="1"/>
        <v>2.293890310599303E-2</v>
      </c>
      <c r="R48" s="120">
        <f t="shared" si="5"/>
        <v>2.293890310599303E-2</v>
      </c>
      <c r="S48" s="121">
        <f t="shared" si="6"/>
        <v>696207948207.74097</v>
      </c>
      <c r="T48" s="121">
        <f t="shared" si="7"/>
        <v>1278969.1042450964</v>
      </c>
      <c r="U48" s="121">
        <f t="shared" si="8"/>
        <v>1635761969613.5044</v>
      </c>
      <c r="V48"/>
    </row>
    <row r="49" spans="1:22" x14ac:dyDescent="0.2">
      <c r="A49" s="43">
        <v>43799</v>
      </c>
      <c r="B49" s="44">
        <v>40089238.080000013</v>
      </c>
      <c r="C49" s="44"/>
      <c r="D49" s="44">
        <f t="shared" si="2"/>
        <v>40089238.080000013</v>
      </c>
      <c r="E49" s="44"/>
      <c r="F49" s="44"/>
      <c r="G49" s="139">
        <f t="shared" si="3"/>
        <v>40089238.080000013</v>
      </c>
      <c r="H49" s="44">
        <f t="shared" ref="H49:I49" si="42">H37</f>
        <v>304.77999999999992</v>
      </c>
      <c r="I49" s="44">
        <f t="shared" si="42"/>
        <v>0.1</v>
      </c>
      <c r="J49" s="44">
        <v>30</v>
      </c>
      <c r="K49" s="142">
        <v>1</v>
      </c>
      <c r="L49" s="44">
        <v>29416.077826869765</v>
      </c>
      <c r="M49" s="44">
        <v>0</v>
      </c>
      <c r="N49" s="44">
        <v>26937494</v>
      </c>
      <c r="O49" s="44">
        <f t="shared" si="4"/>
        <v>38137346.58068344</v>
      </c>
      <c r="P49" s="29">
        <f t="shared" si="0"/>
        <v>-1951891.4993165731</v>
      </c>
      <c r="Q49" s="37">
        <f t="shared" si="1"/>
        <v>-4.8688665407446242E-2</v>
      </c>
      <c r="R49" s="120">
        <f t="shared" si="5"/>
        <v>4.8688665407446242E-2</v>
      </c>
      <c r="S49" s="121">
        <f t="shared" si="6"/>
        <v>3809880425104.2998</v>
      </c>
      <c r="T49" s="121">
        <f t="shared" si="7"/>
        <v>-2786282.264011234</v>
      </c>
      <c r="U49" s="121">
        <f t="shared" si="8"/>
        <v>7763368854743.5684</v>
      </c>
      <c r="V49"/>
    </row>
    <row r="50" spans="1:22" x14ac:dyDescent="0.2">
      <c r="A50" s="43">
        <v>43830</v>
      </c>
      <c r="B50" s="44">
        <v>42739198.629999965</v>
      </c>
      <c r="C50" s="44"/>
      <c r="D50" s="44">
        <f t="shared" si="2"/>
        <v>42739198.629999965</v>
      </c>
      <c r="E50" s="44"/>
      <c r="F50" s="44"/>
      <c r="G50" s="139">
        <f t="shared" si="3"/>
        <v>42739198.629999965</v>
      </c>
      <c r="H50" s="44">
        <f t="shared" ref="H50:I50" si="43">H38</f>
        <v>460.06000000000006</v>
      </c>
      <c r="I50" s="44">
        <f t="shared" si="43"/>
        <v>0</v>
      </c>
      <c r="J50" s="44">
        <v>31</v>
      </c>
      <c r="K50" s="142">
        <v>0</v>
      </c>
      <c r="L50" s="44">
        <v>29440.874922285439</v>
      </c>
      <c r="M50" s="44">
        <v>0</v>
      </c>
      <c r="N50" s="44">
        <v>24304667</v>
      </c>
      <c r="O50" s="44">
        <f t="shared" si="4"/>
        <v>43424818.148315035</v>
      </c>
      <c r="P50" s="29">
        <f t="shared" si="0"/>
        <v>685619.51831506938</v>
      </c>
      <c r="Q50" s="37">
        <f t="shared" si="1"/>
        <v>1.6041936683244495E-2</v>
      </c>
      <c r="R50" s="120">
        <f t="shared" si="5"/>
        <v>1.6041936683244495E-2</v>
      </c>
      <c r="S50" s="121">
        <f t="shared" si="6"/>
        <v>470074123894.58777</v>
      </c>
      <c r="T50" s="121">
        <f t="shared" si="7"/>
        <v>2637511.0176316425</v>
      </c>
      <c r="U50" s="121">
        <f t="shared" si="8"/>
        <v>6956464368128.3027</v>
      </c>
      <c r="V50"/>
    </row>
    <row r="51" spans="1:22" x14ac:dyDescent="0.2">
      <c r="A51" s="43">
        <v>43861</v>
      </c>
      <c r="B51" s="44">
        <v>44000407</v>
      </c>
      <c r="C51" s="44"/>
      <c r="D51" s="44">
        <f t="shared" si="2"/>
        <v>44000407</v>
      </c>
      <c r="E51" s="44"/>
      <c r="F51" s="44"/>
      <c r="G51" s="139">
        <f t="shared" si="3"/>
        <v>44000407</v>
      </c>
      <c r="H51" s="44">
        <f t="shared" ref="H51:I51" si="44">H39</f>
        <v>492.16999999999996</v>
      </c>
      <c r="I51" s="44">
        <f t="shared" si="44"/>
        <v>0</v>
      </c>
      <c r="J51" s="44">
        <v>31</v>
      </c>
      <c r="K51" s="142">
        <v>0</v>
      </c>
      <c r="L51" s="44">
        <v>29463.434445217168</v>
      </c>
      <c r="M51" s="44">
        <v>0</v>
      </c>
      <c r="N51" s="44">
        <v>24323231</v>
      </c>
      <c r="O51" s="44">
        <f t="shared" si="4"/>
        <v>43895752.178853683</v>
      </c>
      <c r="P51" s="29">
        <f t="shared" si="0"/>
        <v>-104654.82114631683</v>
      </c>
      <c r="Q51" s="37">
        <f t="shared" si="1"/>
        <v>-2.3784966613221744E-3</v>
      </c>
      <c r="R51" s="120">
        <f t="shared" si="5"/>
        <v>2.3784966613221744E-3</v>
      </c>
      <c r="S51" s="121">
        <f t="shared" si="6"/>
        <v>10952631589.167564</v>
      </c>
      <c r="T51" s="121">
        <f t="shared" si="7"/>
        <v>-790274.3394613862</v>
      </c>
      <c r="U51" s="121">
        <f t="shared" si="8"/>
        <v>624533531611.13025</v>
      </c>
      <c r="V51"/>
    </row>
    <row r="52" spans="1:22" x14ac:dyDescent="0.2">
      <c r="A52" s="43">
        <v>43890</v>
      </c>
      <c r="B52" s="44">
        <v>41219886</v>
      </c>
      <c r="C52" s="44"/>
      <c r="D52" s="44">
        <f t="shared" si="2"/>
        <v>41219886</v>
      </c>
      <c r="E52" s="44"/>
      <c r="F52" s="44"/>
      <c r="G52" s="139">
        <f t="shared" si="3"/>
        <v>41219886</v>
      </c>
      <c r="H52" s="44">
        <f t="shared" ref="H52:I52" si="45">H40</f>
        <v>420.35999999999996</v>
      </c>
      <c r="I52" s="44">
        <f t="shared" si="45"/>
        <v>0</v>
      </c>
      <c r="J52" s="44">
        <v>29</v>
      </c>
      <c r="K52" s="142">
        <v>0</v>
      </c>
      <c r="L52" s="44">
        <v>29486.014401294655</v>
      </c>
      <c r="M52" s="44">
        <v>0</v>
      </c>
      <c r="N52" s="44">
        <v>24448125</v>
      </c>
      <c r="O52" s="44">
        <f t="shared" si="4"/>
        <v>41148636.816545859</v>
      </c>
      <c r="P52" s="29">
        <f t="shared" si="0"/>
        <v>-71249.183454141021</v>
      </c>
      <c r="Q52" s="37">
        <f t="shared" si="1"/>
        <v>-1.7285148108886332E-3</v>
      </c>
      <c r="R52" s="120">
        <f t="shared" si="5"/>
        <v>1.7285148108886332E-3</v>
      </c>
      <c r="S52" s="121">
        <f t="shared" si="6"/>
        <v>5076446142.8818426</v>
      </c>
      <c r="T52" s="121">
        <f t="shared" si="7"/>
        <v>33405.637692175806</v>
      </c>
      <c r="U52" s="121">
        <f t="shared" si="8"/>
        <v>1115936629.6209168</v>
      </c>
      <c r="V52"/>
    </row>
    <row r="53" spans="1:22" x14ac:dyDescent="0.2">
      <c r="A53" s="43">
        <v>43921</v>
      </c>
      <c r="B53" s="44">
        <v>39943443</v>
      </c>
      <c r="C53" s="44"/>
      <c r="D53" s="44">
        <f t="shared" si="2"/>
        <v>39943443</v>
      </c>
      <c r="E53" s="44"/>
      <c r="F53" s="44"/>
      <c r="G53" s="139">
        <f t="shared" si="3"/>
        <v>39943443</v>
      </c>
      <c r="H53" s="44">
        <f t="shared" ref="H53:I53" si="46">H41</f>
        <v>361.91</v>
      </c>
      <c r="I53" s="44">
        <f t="shared" si="46"/>
        <v>0</v>
      </c>
      <c r="J53" s="44">
        <v>31</v>
      </c>
      <c r="K53" s="142">
        <v>1</v>
      </c>
      <c r="L53" s="44">
        <v>29508.614810709521</v>
      </c>
      <c r="M53" s="44">
        <v>0</v>
      </c>
      <c r="N53" s="44">
        <v>23426971</v>
      </c>
      <c r="O53" s="44">
        <f t="shared" si="4"/>
        <v>39139079.191566885</v>
      </c>
      <c r="P53" s="29">
        <f t="shared" si="0"/>
        <v>-804363.80843311548</v>
      </c>
      <c r="Q53" s="37">
        <f t="shared" si="1"/>
        <v>-2.0137568221976144E-2</v>
      </c>
      <c r="R53" s="120">
        <f t="shared" si="5"/>
        <v>2.0137568221976144E-2</v>
      </c>
      <c r="S53" s="121">
        <f t="shared" si="6"/>
        <v>647001136317.02576</v>
      </c>
      <c r="T53" s="121">
        <f t="shared" si="7"/>
        <v>-733114.62497897446</v>
      </c>
      <c r="U53" s="121">
        <f t="shared" si="8"/>
        <v>537457053358.06238</v>
      </c>
      <c r="V53"/>
    </row>
    <row r="54" spans="1:22" x14ac:dyDescent="0.2">
      <c r="A54" s="43">
        <v>43951</v>
      </c>
      <c r="B54" s="44">
        <v>34785312</v>
      </c>
      <c r="C54" s="44"/>
      <c r="D54" s="44">
        <f t="shared" si="2"/>
        <v>34785312</v>
      </c>
      <c r="E54" s="44"/>
      <c r="F54" s="44"/>
      <c r="G54" s="139">
        <f t="shared" si="3"/>
        <v>34785312</v>
      </c>
      <c r="H54" s="44">
        <f t="shared" ref="H54:I54" si="47">H42</f>
        <v>249.59</v>
      </c>
      <c r="I54" s="44">
        <f t="shared" si="47"/>
        <v>0.2</v>
      </c>
      <c r="J54" s="44">
        <v>30</v>
      </c>
      <c r="K54" s="142">
        <v>1</v>
      </c>
      <c r="L54" s="44">
        <v>29531.23569367926</v>
      </c>
      <c r="M54" s="44">
        <v>0</v>
      </c>
      <c r="N54" s="44">
        <v>13875633</v>
      </c>
      <c r="O54" s="44">
        <f t="shared" si="4"/>
        <v>34651020.309756272</v>
      </c>
      <c r="P54" s="29">
        <f t="shared" si="0"/>
        <v>-134291.69024372846</v>
      </c>
      <c r="Q54" s="37">
        <f t="shared" si="1"/>
        <v>-3.8605860497594058E-3</v>
      </c>
      <c r="R54" s="120">
        <f t="shared" si="5"/>
        <v>3.8605860497594058E-3</v>
      </c>
      <c r="S54" s="121">
        <f t="shared" si="6"/>
        <v>18034258068.517513</v>
      </c>
      <c r="T54" s="121">
        <f t="shared" si="7"/>
        <v>670072.11818938702</v>
      </c>
      <c r="U54" s="121">
        <f t="shared" si="8"/>
        <v>448996643574.81183</v>
      </c>
      <c r="V54"/>
    </row>
    <row r="55" spans="1:22" x14ac:dyDescent="0.2">
      <c r="A55" s="43">
        <v>43982</v>
      </c>
      <c r="B55" s="44">
        <v>35305256</v>
      </c>
      <c r="C55" s="44"/>
      <c r="D55" s="44">
        <f t="shared" si="2"/>
        <v>35305256</v>
      </c>
      <c r="E55" s="44"/>
      <c r="F55" s="44"/>
      <c r="G55" s="139">
        <f t="shared" si="3"/>
        <v>35305256</v>
      </c>
      <c r="H55" s="44">
        <f t="shared" ref="H55:I55" si="48">H43</f>
        <v>107.23999999999998</v>
      </c>
      <c r="I55" s="44">
        <f t="shared" si="48"/>
        <v>12.239999999999998</v>
      </c>
      <c r="J55" s="44">
        <v>31</v>
      </c>
      <c r="K55" s="142">
        <v>1</v>
      </c>
      <c r="L55" s="44">
        <v>29553.877070447332</v>
      </c>
      <c r="M55" s="44">
        <v>0</v>
      </c>
      <c r="N55" s="44">
        <v>17021201</v>
      </c>
      <c r="O55" s="44">
        <f t="shared" si="4"/>
        <v>35016222.648795843</v>
      </c>
      <c r="P55" s="29">
        <f t="shared" si="0"/>
        <v>-289033.35120415688</v>
      </c>
      <c r="Q55" s="37">
        <f t="shared" si="1"/>
        <v>-8.1866946724350863E-3</v>
      </c>
      <c r="R55" s="120">
        <f t="shared" si="5"/>
        <v>8.1866946724350863E-3</v>
      </c>
      <c r="S55" s="121">
        <f t="shared" si="6"/>
        <v>83540278108.305496</v>
      </c>
      <c r="T55" s="121">
        <f t="shared" si="7"/>
        <v>-154741.66096042842</v>
      </c>
      <c r="U55" s="121">
        <f t="shared" si="8"/>
        <v>23944981636.792175</v>
      </c>
      <c r="V55"/>
    </row>
    <row r="56" spans="1:22" x14ac:dyDescent="0.2">
      <c r="A56" s="43">
        <v>44012</v>
      </c>
      <c r="B56" s="44">
        <v>39004716</v>
      </c>
      <c r="C56" s="44"/>
      <c r="D56" s="44">
        <f t="shared" si="2"/>
        <v>39004716</v>
      </c>
      <c r="E56" s="44"/>
      <c r="F56" s="44"/>
      <c r="G56" s="139">
        <f t="shared" si="3"/>
        <v>39004716</v>
      </c>
      <c r="H56" s="44">
        <f t="shared" ref="H56:I56" si="49">H44</f>
        <v>16.089999999999996</v>
      </c>
      <c r="I56" s="44">
        <f t="shared" si="49"/>
        <v>52.410000000000004</v>
      </c>
      <c r="J56" s="44">
        <v>30</v>
      </c>
      <c r="K56" s="142">
        <v>0</v>
      </c>
      <c r="L56" s="44">
        <v>29576.538961283193</v>
      </c>
      <c r="M56" s="44">
        <v>0</v>
      </c>
      <c r="N56" s="44">
        <v>24931567</v>
      </c>
      <c r="O56" s="44">
        <f t="shared" si="4"/>
        <v>39922814.3700561</v>
      </c>
      <c r="P56" s="29">
        <f t="shared" si="0"/>
        <v>918098.37005610019</v>
      </c>
      <c r="Q56" s="37">
        <f t="shared" si="1"/>
        <v>2.3538137543575505E-2</v>
      </c>
      <c r="R56" s="120">
        <f t="shared" si="5"/>
        <v>2.3538137543575505E-2</v>
      </c>
      <c r="S56" s="121">
        <f t="shared" si="6"/>
        <v>842904617099.66785</v>
      </c>
      <c r="T56" s="121">
        <f t="shared" si="7"/>
        <v>1207131.7212602571</v>
      </c>
      <c r="U56" s="121">
        <f t="shared" si="8"/>
        <v>1457166992472.751</v>
      </c>
      <c r="V56"/>
    </row>
    <row r="57" spans="1:22" x14ac:dyDescent="0.2">
      <c r="A57" s="43">
        <v>44043</v>
      </c>
      <c r="B57" s="44">
        <v>51209111</v>
      </c>
      <c r="C57" s="44"/>
      <c r="D57" s="44">
        <f t="shared" si="2"/>
        <v>51209111</v>
      </c>
      <c r="E57" s="44"/>
      <c r="F57" s="44"/>
      <c r="G57" s="139">
        <f t="shared" si="3"/>
        <v>51209111</v>
      </c>
      <c r="H57" s="44">
        <f t="shared" ref="H57:I57" si="50">H45</f>
        <v>0.65</v>
      </c>
      <c r="I57" s="44">
        <f t="shared" si="50"/>
        <v>112.46</v>
      </c>
      <c r="J57" s="44">
        <v>31</v>
      </c>
      <c r="K57" s="142">
        <v>0</v>
      </c>
      <c r="L57" s="44">
        <v>29599.221386482321</v>
      </c>
      <c r="M57" s="44">
        <v>1</v>
      </c>
      <c r="N57" s="44">
        <v>24260284</v>
      </c>
      <c r="O57" s="44">
        <f t="shared" si="4"/>
        <v>47638522.683149077</v>
      </c>
      <c r="P57" s="29">
        <f t="shared" si="0"/>
        <v>-3570588.316850923</v>
      </c>
      <c r="Q57" s="37">
        <f t="shared" si="1"/>
        <v>-6.9725645439361814E-2</v>
      </c>
      <c r="R57" s="120">
        <f t="shared" si="5"/>
        <v>6.9725645439361814E-2</v>
      </c>
      <c r="S57" s="121">
        <f t="shared" si="6"/>
        <v>12749100928432.307</v>
      </c>
      <c r="T57" s="121">
        <f t="shared" si="7"/>
        <v>-4488686.6869070232</v>
      </c>
      <c r="U57" s="121">
        <f t="shared" si="8"/>
        <v>20148308173216.348</v>
      </c>
      <c r="V57"/>
    </row>
    <row r="58" spans="1:22" x14ac:dyDescent="0.2">
      <c r="A58" s="43">
        <v>44074</v>
      </c>
      <c r="B58" s="44">
        <v>45776807</v>
      </c>
      <c r="C58" s="44"/>
      <c r="D58" s="44">
        <f t="shared" si="2"/>
        <v>45776807</v>
      </c>
      <c r="E58" s="44"/>
      <c r="F58" s="44"/>
      <c r="G58" s="139">
        <f t="shared" si="3"/>
        <v>45776807</v>
      </c>
      <c r="H58" s="44">
        <f t="shared" ref="H58:I58" si="51">H46</f>
        <v>3.2599999999999993</v>
      </c>
      <c r="I58" s="44">
        <f t="shared" si="51"/>
        <v>112.46</v>
      </c>
      <c r="J58" s="44">
        <v>31</v>
      </c>
      <c r="K58" s="142">
        <v>0</v>
      </c>
      <c r="L58" s="44">
        <v>29621.9243663663</v>
      </c>
      <c r="M58" s="44">
        <v>1</v>
      </c>
      <c r="N58" s="44">
        <v>24766026</v>
      </c>
      <c r="O58" s="44">
        <f t="shared" si="4"/>
        <v>47800711.093861416</v>
      </c>
      <c r="P58" s="29">
        <f t="shared" si="0"/>
        <v>2023904.093861416</v>
      </c>
      <c r="Q58" s="37">
        <f t="shared" si="1"/>
        <v>4.4212434778629621E-2</v>
      </c>
      <c r="R58" s="120">
        <f t="shared" si="5"/>
        <v>4.4212434778629621E-2</v>
      </c>
      <c r="S58" s="121">
        <f t="shared" si="6"/>
        <v>4096187781148.9995</v>
      </c>
      <c r="T58" s="121">
        <f t="shared" si="7"/>
        <v>5594492.410712339</v>
      </c>
      <c r="U58" s="121">
        <f t="shared" si="8"/>
        <v>31298345333517.957</v>
      </c>
      <c r="V58"/>
    </row>
    <row r="59" spans="1:22" x14ac:dyDescent="0.2">
      <c r="A59" s="43">
        <v>44104</v>
      </c>
      <c r="B59" s="44">
        <v>36368524</v>
      </c>
      <c r="C59" s="44"/>
      <c r="D59" s="44">
        <f t="shared" si="2"/>
        <v>36368524</v>
      </c>
      <c r="E59" s="44"/>
      <c r="F59" s="44"/>
      <c r="G59" s="139">
        <f t="shared" si="3"/>
        <v>36368524</v>
      </c>
      <c r="H59" s="44">
        <f t="shared" ref="H59:I59" si="52">H47</f>
        <v>28.679999999999996</v>
      </c>
      <c r="I59" s="44">
        <f t="shared" si="52"/>
        <v>44.01</v>
      </c>
      <c r="J59" s="44">
        <v>30</v>
      </c>
      <c r="K59" s="142">
        <v>1</v>
      </c>
      <c r="L59" s="44">
        <v>29644.647921282853</v>
      </c>
      <c r="M59" s="44">
        <v>0</v>
      </c>
      <c r="N59" s="44">
        <v>26177718</v>
      </c>
      <c r="O59" s="44">
        <f t="shared" si="4"/>
        <v>37104451.351735637</v>
      </c>
      <c r="P59" s="29">
        <f t="shared" si="0"/>
        <v>735927.35173563659</v>
      </c>
      <c r="Q59" s="37">
        <f t="shared" si="1"/>
        <v>2.0235282348429553E-2</v>
      </c>
      <c r="R59" s="120">
        <f t="shared" si="5"/>
        <v>2.0235282348429553E-2</v>
      </c>
      <c r="S59" s="121">
        <f t="shared" si="6"/>
        <v>541589067032.62738</v>
      </c>
      <c r="T59" s="121">
        <f t="shared" si="7"/>
        <v>-1287976.7421257794</v>
      </c>
      <c r="U59" s="121">
        <f t="shared" si="8"/>
        <v>1658884088256.9365</v>
      </c>
      <c r="V59"/>
    </row>
    <row r="60" spans="1:22" x14ac:dyDescent="0.2">
      <c r="A60" s="43">
        <v>44135</v>
      </c>
      <c r="B60" s="44">
        <v>35464048</v>
      </c>
      <c r="C60" s="44"/>
      <c r="D60" s="44">
        <f t="shared" si="2"/>
        <v>35464048</v>
      </c>
      <c r="E60" s="44"/>
      <c r="F60" s="44"/>
      <c r="G60" s="139">
        <f t="shared" si="3"/>
        <v>35464048</v>
      </c>
      <c r="H60" s="44">
        <f t="shared" ref="H60:I60" si="53">H48</f>
        <v>141.75</v>
      </c>
      <c r="I60" s="44">
        <f t="shared" si="53"/>
        <v>6.5299999999999994</v>
      </c>
      <c r="J60" s="44">
        <v>31</v>
      </c>
      <c r="K60" s="142">
        <v>1</v>
      </c>
      <c r="L60" s="44">
        <v>29667.392071605875</v>
      </c>
      <c r="M60" s="44">
        <v>0</v>
      </c>
      <c r="N60" s="44">
        <v>26073606</v>
      </c>
      <c r="O60" s="44">
        <f t="shared" si="4"/>
        <v>37161171.249870561</v>
      </c>
      <c r="P60" s="29">
        <f t="shared" si="0"/>
        <v>1697123.2498705611</v>
      </c>
      <c r="Q60" s="37">
        <f t="shared" si="1"/>
        <v>4.7854752787120099E-2</v>
      </c>
      <c r="R60" s="120">
        <f t="shared" si="5"/>
        <v>4.7854752787120099E-2</v>
      </c>
      <c r="S60" s="121">
        <f t="shared" si="6"/>
        <v>2880227325251.2148</v>
      </c>
      <c r="T60" s="121">
        <f t="shared" si="7"/>
        <v>961195.89813492447</v>
      </c>
      <c r="U60" s="121">
        <f t="shared" si="8"/>
        <v>923897554591.40405</v>
      </c>
      <c r="V60"/>
    </row>
    <row r="61" spans="1:22" x14ac:dyDescent="0.2">
      <c r="A61" s="43">
        <v>44165</v>
      </c>
      <c r="B61" s="44">
        <v>36859381</v>
      </c>
      <c r="C61" s="44"/>
      <c r="D61" s="44">
        <f t="shared" si="2"/>
        <v>36859381</v>
      </c>
      <c r="E61" s="44"/>
      <c r="F61" s="44"/>
      <c r="G61" s="139">
        <f t="shared" si="3"/>
        <v>36859381</v>
      </c>
      <c r="H61" s="44">
        <f t="shared" ref="H61:I61" si="54">H49</f>
        <v>304.77999999999992</v>
      </c>
      <c r="I61" s="44">
        <f t="shared" si="54"/>
        <v>0.1</v>
      </c>
      <c r="J61" s="44">
        <v>30</v>
      </c>
      <c r="K61" s="142">
        <v>1</v>
      </c>
      <c r="L61" s="44">
        <v>29690.156837735507</v>
      </c>
      <c r="M61" s="44">
        <v>0</v>
      </c>
      <c r="N61" s="44">
        <v>25421619</v>
      </c>
      <c r="O61" s="44">
        <f t="shared" si="4"/>
        <v>38016824.082556687</v>
      </c>
      <c r="P61" s="29">
        <f t="shared" si="0"/>
        <v>1157443.0825566873</v>
      </c>
      <c r="Q61" s="37">
        <f t="shared" si="1"/>
        <v>3.140158763264872E-2</v>
      </c>
      <c r="R61" s="120">
        <f t="shared" si="5"/>
        <v>3.140158763264872E-2</v>
      </c>
      <c r="S61" s="121">
        <f t="shared" si="6"/>
        <v>1339674489358.3264</v>
      </c>
      <c r="T61" s="121">
        <f t="shared" si="7"/>
        <v>-539680.16731387377</v>
      </c>
      <c r="U61" s="121">
        <f t="shared" si="8"/>
        <v>291254682991.93079</v>
      </c>
      <c r="V61"/>
    </row>
    <row r="62" spans="1:22" x14ac:dyDescent="0.2">
      <c r="A62" s="43">
        <v>44196</v>
      </c>
      <c r="B62" s="44">
        <v>42748295</v>
      </c>
      <c r="C62" s="44"/>
      <c r="D62" s="44">
        <f t="shared" si="2"/>
        <v>42748295</v>
      </c>
      <c r="E62" s="44"/>
      <c r="F62" s="44"/>
      <c r="G62" s="139">
        <f t="shared" si="3"/>
        <v>42748295</v>
      </c>
      <c r="H62" s="44">
        <f t="shared" ref="H62:I62" si="55">H50</f>
        <v>460.06000000000006</v>
      </c>
      <c r="I62" s="44">
        <f t="shared" si="55"/>
        <v>0</v>
      </c>
      <c r="J62" s="44">
        <v>31</v>
      </c>
      <c r="K62" s="142">
        <v>0</v>
      </c>
      <c r="L62" s="44">
        <v>29712.942240098168</v>
      </c>
      <c r="M62" s="44">
        <v>0</v>
      </c>
      <c r="N62" s="44">
        <v>23882588</v>
      </c>
      <c r="O62" s="44">
        <f t="shared" si="4"/>
        <v>43537710.025884092</v>
      </c>
      <c r="P62" s="29">
        <f t="shared" si="0"/>
        <v>789415.02588409185</v>
      </c>
      <c r="Q62" s="37">
        <f t="shared" si="1"/>
        <v>1.8466585062260187E-2</v>
      </c>
      <c r="R62" s="120">
        <f t="shared" si="5"/>
        <v>1.8466585062260187E-2</v>
      </c>
      <c r="S62" s="121">
        <f t="shared" si="6"/>
        <v>623176083091.58142</v>
      </c>
      <c r="T62" s="121">
        <f t="shared" si="7"/>
        <v>-368028.05667259544</v>
      </c>
      <c r="U62" s="121">
        <f t="shared" si="8"/>
        <v>135444650498.20712</v>
      </c>
      <c r="V62"/>
    </row>
    <row r="63" spans="1:22" x14ac:dyDescent="0.2">
      <c r="A63" s="43">
        <v>44227</v>
      </c>
      <c r="B63" s="44">
        <v>43973665.187200002</v>
      </c>
      <c r="C63" s="44"/>
      <c r="D63" s="44">
        <f t="shared" si="2"/>
        <v>43973665.187200002</v>
      </c>
      <c r="E63" s="44"/>
      <c r="F63" s="44"/>
      <c r="G63" s="139">
        <f>D63-E63-F63</f>
        <v>43973665.187200002</v>
      </c>
      <c r="H63" s="44">
        <f t="shared" ref="H63:I63" si="56">H51</f>
        <v>492.16999999999996</v>
      </c>
      <c r="I63" s="44">
        <f t="shared" si="56"/>
        <v>0</v>
      </c>
      <c r="J63" s="44">
        <v>31</v>
      </c>
      <c r="K63" s="142">
        <v>0</v>
      </c>
      <c r="L63" s="44">
        <v>29738.863243927466</v>
      </c>
      <c r="M63" s="44">
        <v>0</v>
      </c>
      <c r="N63" s="44">
        <v>23201982</v>
      </c>
      <c r="O63" s="44">
        <f t="shared" si="4"/>
        <v>43860995.076017715</v>
      </c>
      <c r="P63" s="29">
        <f t="shared" si="0"/>
        <v>-112670.11118228734</v>
      </c>
      <c r="Q63" s="37">
        <f t="shared" si="1"/>
        <v>-2.5622178797841877E-3</v>
      </c>
      <c r="R63" s="120">
        <f t="shared" si="5"/>
        <v>2.5622178797841877E-3</v>
      </c>
      <c r="S63" s="121">
        <f t="shared" si="6"/>
        <v>12694553953.828989</v>
      </c>
      <c r="T63" s="121">
        <f t="shared" si="7"/>
        <v>-902085.13706637919</v>
      </c>
      <c r="U63" s="121">
        <f t="shared" si="8"/>
        <v>813757594516.06812</v>
      </c>
      <c r="V63"/>
    </row>
    <row r="64" spans="1:22" x14ac:dyDescent="0.2">
      <c r="A64" s="43">
        <v>44255</v>
      </c>
      <c r="B64" s="44">
        <v>40785728.859999999</v>
      </c>
      <c r="C64" s="44"/>
      <c r="D64" s="44">
        <f t="shared" si="2"/>
        <v>40785728.859999999</v>
      </c>
      <c r="E64" s="44"/>
      <c r="F64" s="44"/>
      <c r="G64" s="139">
        <f t="shared" ref="G64:G122" si="57">D64-E64-F64</f>
        <v>40785728.859999999</v>
      </c>
      <c r="H64" s="44">
        <f t="shared" ref="H64:I64" si="58">H52</f>
        <v>420.35999999999996</v>
      </c>
      <c r="I64" s="44">
        <f t="shared" si="58"/>
        <v>0</v>
      </c>
      <c r="J64" s="44">
        <v>28</v>
      </c>
      <c r="K64" s="142">
        <v>0</v>
      </c>
      <c r="L64" s="44">
        <v>29764.808153510119</v>
      </c>
      <c r="M64" s="44">
        <v>0</v>
      </c>
      <c r="N64" s="44">
        <v>22541306</v>
      </c>
      <c r="O64" s="44">
        <f t="shared" si="4"/>
        <v>40055522.575682439</v>
      </c>
      <c r="P64" s="29">
        <f t="shared" si="0"/>
        <v>-730206.28431756049</v>
      </c>
      <c r="Q64" s="37">
        <f t="shared" si="1"/>
        <v>-1.7903475179370878E-2</v>
      </c>
      <c r="R64" s="120">
        <f t="shared" si="5"/>
        <v>1.7903475179370878E-2</v>
      </c>
      <c r="S64" s="121">
        <f t="shared" si="6"/>
        <v>533201217656.85797</v>
      </c>
      <c r="T64" s="121">
        <f t="shared" si="7"/>
        <v>-617536.17313527316</v>
      </c>
      <c r="U64" s="121">
        <f t="shared" si="8"/>
        <v>381350925130.55804</v>
      </c>
      <c r="V64"/>
    </row>
    <row r="65" spans="1:22" x14ac:dyDescent="0.2">
      <c r="A65" s="43">
        <v>44286</v>
      </c>
      <c r="B65" s="44">
        <v>40511516.95000001</v>
      </c>
      <c r="C65" s="44"/>
      <c r="D65" s="44">
        <f t="shared" si="2"/>
        <v>40511516.95000001</v>
      </c>
      <c r="E65" s="44"/>
      <c r="F65" s="44"/>
      <c r="G65" s="139">
        <f t="shared" si="57"/>
        <v>40511516.95000001</v>
      </c>
      <c r="H65" s="44">
        <f t="shared" ref="H65:I65" si="59">H53</f>
        <v>361.91</v>
      </c>
      <c r="I65" s="44">
        <f t="shared" si="59"/>
        <v>0</v>
      </c>
      <c r="J65" s="44">
        <v>31</v>
      </c>
      <c r="K65" s="142">
        <v>1</v>
      </c>
      <c r="L65" s="44">
        <v>29790.776993977288</v>
      </c>
      <c r="M65" s="44">
        <v>0</v>
      </c>
      <c r="N65" s="44">
        <v>28036090</v>
      </c>
      <c r="O65" s="44">
        <f t="shared" si="4"/>
        <v>40340096.027922019</v>
      </c>
      <c r="P65" s="29">
        <f t="shared" si="0"/>
        <v>-171420.92207799107</v>
      </c>
      <c r="Q65" s="37">
        <f t="shared" si="1"/>
        <v>-4.2314120769548482E-3</v>
      </c>
      <c r="R65" s="120">
        <f t="shared" si="5"/>
        <v>4.2314120769548482E-3</v>
      </c>
      <c r="S65" s="121">
        <f t="shared" si="6"/>
        <v>29385132526.068687</v>
      </c>
      <c r="T65" s="121">
        <f t="shared" si="7"/>
        <v>558785.36223956943</v>
      </c>
      <c r="U65" s="121">
        <f t="shared" si="8"/>
        <v>312241081053.20685</v>
      </c>
      <c r="V65"/>
    </row>
    <row r="66" spans="1:22" x14ac:dyDescent="0.2">
      <c r="A66" s="43">
        <v>44316</v>
      </c>
      <c r="B66" s="44">
        <v>34865218.751199998</v>
      </c>
      <c r="C66" s="44"/>
      <c r="D66" s="44">
        <f t="shared" si="2"/>
        <v>34865218.751199998</v>
      </c>
      <c r="E66" s="44"/>
      <c r="F66" s="44"/>
      <c r="G66" s="139">
        <f t="shared" si="57"/>
        <v>34865218.751199998</v>
      </c>
      <c r="H66" s="44">
        <f t="shared" ref="H66:I66" si="60">H54</f>
        <v>249.59</v>
      </c>
      <c r="I66" s="44">
        <f t="shared" si="60"/>
        <v>0.2</v>
      </c>
      <c r="J66" s="44">
        <v>30</v>
      </c>
      <c r="K66" s="142">
        <v>1</v>
      </c>
      <c r="L66" s="44">
        <v>29816.769790495076</v>
      </c>
      <c r="M66" s="44">
        <v>0</v>
      </c>
      <c r="N66" s="44">
        <v>24252177</v>
      </c>
      <c r="O66" s="44">
        <f t="shared" si="4"/>
        <v>37093255.139757305</v>
      </c>
      <c r="P66" s="29">
        <f t="shared" si="0"/>
        <v>2228036.3885573074</v>
      </c>
      <c r="Q66" s="37">
        <f t="shared" si="1"/>
        <v>6.3904271028863757E-2</v>
      </c>
      <c r="R66" s="120">
        <f t="shared" si="5"/>
        <v>6.3904271028863757E-2</v>
      </c>
      <c r="S66" s="121">
        <f t="shared" si="6"/>
        <v>4964146148735.4893</v>
      </c>
      <c r="T66" s="121">
        <f t="shared" si="7"/>
        <v>2399457.3106352985</v>
      </c>
      <c r="U66" s="121">
        <f t="shared" si="8"/>
        <v>5757395385561.1797</v>
      </c>
      <c r="V66"/>
    </row>
    <row r="67" spans="1:22" x14ac:dyDescent="0.2">
      <c r="A67" s="43">
        <v>44347</v>
      </c>
      <c r="B67" s="44">
        <v>35720582.787200004</v>
      </c>
      <c r="C67" s="44"/>
      <c r="D67" s="44">
        <f t="shared" si="2"/>
        <v>35720582.787200004</v>
      </c>
      <c r="E67" s="44"/>
      <c r="F67" s="44"/>
      <c r="G67" s="139">
        <f t="shared" si="57"/>
        <v>35720582.787200004</v>
      </c>
      <c r="H67" s="44">
        <f t="shared" ref="H67:I67" si="61">H55</f>
        <v>107.23999999999998</v>
      </c>
      <c r="I67" s="44">
        <f t="shared" si="61"/>
        <v>12.239999999999998</v>
      </c>
      <c r="J67" s="44">
        <v>31</v>
      </c>
      <c r="K67" s="142">
        <v>1</v>
      </c>
      <c r="L67" s="44">
        <v>29842.786568264626</v>
      </c>
      <c r="M67" s="44">
        <v>0</v>
      </c>
      <c r="N67" s="44">
        <v>24670787</v>
      </c>
      <c r="O67" s="44">
        <f t="shared" si="4"/>
        <v>36875301.927697234</v>
      </c>
      <c r="P67" s="29">
        <f t="shared" ref="P67:P130" si="62">O67-G67</f>
        <v>1154719.14049723</v>
      </c>
      <c r="Q67" s="37">
        <f t="shared" ref="Q67:Q109" si="63">P67/G67</f>
        <v>3.2326436199999746E-2</v>
      </c>
      <c r="R67" s="120">
        <f t="shared" si="5"/>
        <v>3.2326436199999746E-2</v>
      </c>
      <c r="S67" s="121">
        <f t="shared" si="6"/>
        <v>1333376293430.6616</v>
      </c>
      <c r="T67" s="121">
        <f t="shared" si="7"/>
        <v>-1073317.2480600774</v>
      </c>
      <c r="U67" s="121">
        <f t="shared" si="8"/>
        <v>1152009914983.2578</v>
      </c>
      <c r="V67"/>
    </row>
    <row r="68" spans="1:22" x14ac:dyDescent="0.2">
      <c r="A68" s="43">
        <v>44377</v>
      </c>
      <c r="B68" s="44">
        <v>40624792.780000001</v>
      </c>
      <c r="C68" s="44"/>
      <c r="D68" s="44">
        <f t="shared" ref="D68:D122" si="64">B68+C68</f>
        <v>40624792.780000001</v>
      </c>
      <c r="E68" s="44"/>
      <c r="F68" s="44"/>
      <c r="G68" s="139">
        <f t="shared" si="57"/>
        <v>40624792.780000001</v>
      </c>
      <c r="H68" s="44">
        <f t="shared" ref="H68:I68" si="65">H56</f>
        <v>16.089999999999996</v>
      </c>
      <c r="I68" s="44">
        <f t="shared" si="65"/>
        <v>52.410000000000004</v>
      </c>
      <c r="J68" s="44">
        <v>30</v>
      </c>
      <c r="K68" s="142">
        <v>0</v>
      </c>
      <c r="L68" s="44">
        <v>29868.827352522167</v>
      </c>
      <c r="M68" s="44">
        <v>0</v>
      </c>
      <c r="N68" s="44">
        <v>27031100</v>
      </c>
      <c r="O68" s="44">
        <f t="shared" ref="O68:O131" si="66">$X$30+$X$31*H68+$X$32*I68+$X$33*J68+$X$34*K68+$X$35*L68+M68*$X$36+N68*$X$37</f>
        <v>40592412.128823899</v>
      </c>
      <c r="P68" s="29">
        <f t="shared" si="62"/>
        <v>-32380.651176102459</v>
      </c>
      <c r="Q68" s="37">
        <f t="shared" si="63"/>
        <v>-7.9706624847188838E-4</v>
      </c>
      <c r="R68" s="120">
        <f t="shared" ref="R68:R121" si="67">ABS(Q68)</f>
        <v>7.9706624847188838E-4</v>
      </c>
      <c r="S68" s="121">
        <f t="shared" ref="S68:S108" si="68">P68*P68</f>
        <v>1048506570.5884256</v>
      </c>
      <c r="T68" s="121">
        <f t="shared" si="7"/>
        <v>-1187099.7916733325</v>
      </c>
      <c r="U68" s="121">
        <f t="shared" si="8"/>
        <v>1409205915390.8694</v>
      </c>
      <c r="V68"/>
    </row>
    <row r="69" spans="1:22" x14ac:dyDescent="0.2">
      <c r="A69" s="43">
        <v>44408</v>
      </c>
      <c r="B69" s="44">
        <v>44400730.75</v>
      </c>
      <c r="C69" s="44"/>
      <c r="D69" s="44">
        <f t="shared" si="64"/>
        <v>44400730.75</v>
      </c>
      <c r="E69" s="44"/>
      <c r="F69" s="44"/>
      <c r="G69" s="139">
        <f t="shared" si="57"/>
        <v>44400730.75</v>
      </c>
      <c r="H69" s="44">
        <f t="shared" ref="H69:I69" si="69">H57</f>
        <v>0.65</v>
      </c>
      <c r="I69" s="44">
        <f t="shared" si="69"/>
        <v>112.46</v>
      </c>
      <c r="J69" s="44">
        <v>31</v>
      </c>
      <c r="K69" s="142">
        <v>0</v>
      </c>
      <c r="L69" s="44">
        <v>29894.892168539085</v>
      </c>
      <c r="M69" s="44">
        <v>1</v>
      </c>
      <c r="N69" s="44">
        <v>24544535</v>
      </c>
      <c r="O69" s="44">
        <f t="shared" si="66"/>
        <v>47920774.801254556</v>
      </c>
      <c r="P69" s="29">
        <f t="shared" si="62"/>
        <v>3520044.0512545556</v>
      </c>
      <c r="Q69" s="37">
        <f t="shared" si="63"/>
        <v>7.9278966624993119E-2</v>
      </c>
      <c r="R69" s="120">
        <f t="shared" si="67"/>
        <v>7.9278966624993119E-2</v>
      </c>
      <c r="S69" s="121">
        <f t="shared" si="68"/>
        <v>12390710122772.584</v>
      </c>
      <c r="T69" s="121">
        <f t="shared" ref="T69:T109" si="70">P69-P68</f>
        <v>3552424.702430658</v>
      </c>
      <c r="U69" s="121">
        <f t="shared" ref="U69:U109" si="71">T69*T69</f>
        <v>12619721266439.549</v>
      </c>
      <c r="V69"/>
    </row>
    <row r="70" spans="1:22" x14ac:dyDescent="0.2">
      <c r="A70" s="43">
        <v>44439</v>
      </c>
      <c r="B70" s="44">
        <v>52694375.509999998</v>
      </c>
      <c r="C70" s="44"/>
      <c r="D70" s="44">
        <f t="shared" si="64"/>
        <v>52694375.509999998</v>
      </c>
      <c r="E70" s="44"/>
      <c r="F70" s="44"/>
      <c r="G70" s="139">
        <f t="shared" si="57"/>
        <v>52694375.509999998</v>
      </c>
      <c r="H70" s="44">
        <f t="shared" ref="H70:I70" si="72">H58</f>
        <v>3.2599999999999993</v>
      </c>
      <c r="I70" s="44">
        <f t="shared" si="72"/>
        <v>112.46</v>
      </c>
      <c r="J70" s="44">
        <v>31</v>
      </c>
      <c r="K70" s="142">
        <v>0</v>
      </c>
      <c r="L70" s="44">
        <v>29920.981041622021</v>
      </c>
      <c r="M70" s="44">
        <v>1</v>
      </c>
      <c r="N70" s="44">
        <v>26790218</v>
      </c>
      <c r="O70" s="44">
        <f t="shared" si="66"/>
        <v>48459191.137540236</v>
      </c>
      <c r="P70" s="29">
        <f t="shared" si="62"/>
        <v>-4235184.3724597618</v>
      </c>
      <c r="Q70" s="37">
        <f t="shared" si="63"/>
        <v>-8.0372607730326659E-2</v>
      </c>
      <c r="R70" s="120">
        <f t="shared" si="67"/>
        <v>8.0372607730326659E-2</v>
      </c>
      <c r="S70" s="121">
        <f t="shared" si="68"/>
        <v>17936786668727.387</v>
      </c>
      <c r="T70" s="121">
        <f t="shared" si="70"/>
        <v>-7755228.4237143174</v>
      </c>
      <c r="U70" s="121">
        <f t="shared" si="71"/>
        <v>60143567903986.453</v>
      </c>
      <c r="V70"/>
    </row>
    <row r="71" spans="1:22" x14ac:dyDescent="0.2">
      <c r="A71" s="43">
        <v>44469</v>
      </c>
      <c r="B71" s="44">
        <v>39413607.979999989</v>
      </c>
      <c r="C71" s="44"/>
      <c r="D71" s="44">
        <f t="shared" si="64"/>
        <v>39413607.979999989</v>
      </c>
      <c r="E71" s="44"/>
      <c r="F71" s="44"/>
      <c r="G71" s="139">
        <f t="shared" si="57"/>
        <v>39413607.979999989</v>
      </c>
      <c r="H71" s="44">
        <f t="shared" ref="H71:I71" si="73">H59</f>
        <v>28.679999999999996</v>
      </c>
      <c r="I71" s="44">
        <f t="shared" si="73"/>
        <v>44.01</v>
      </c>
      <c r="J71" s="44">
        <v>30</v>
      </c>
      <c r="K71" s="142">
        <v>1</v>
      </c>
      <c r="L71" s="44">
        <v>29947.093997112901</v>
      </c>
      <c r="M71" s="44">
        <v>0</v>
      </c>
      <c r="N71" s="44">
        <v>26666952</v>
      </c>
      <c r="O71" s="44">
        <f t="shared" si="66"/>
        <v>37435797.422590934</v>
      </c>
      <c r="P71" s="29">
        <f t="shared" si="62"/>
        <v>-1977810.5574090555</v>
      </c>
      <c r="Q71" s="37">
        <f t="shared" si="63"/>
        <v>-5.0180906006186347E-2</v>
      </c>
      <c r="R71" s="120">
        <f t="shared" si="67"/>
        <v>5.0180906006186347E-2</v>
      </c>
      <c r="S71" s="121">
        <f t="shared" si="68"/>
        <v>3911734600998.7188</v>
      </c>
      <c r="T71" s="121">
        <f t="shared" si="70"/>
        <v>2257373.8150507063</v>
      </c>
      <c r="U71" s="121">
        <f t="shared" si="71"/>
        <v>5095736540876.5801</v>
      </c>
      <c r="V71"/>
    </row>
    <row r="72" spans="1:22" x14ac:dyDescent="0.2">
      <c r="A72" s="43">
        <v>44500</v>
      </c>
      <c r="B72" s="44">
        <v>37470498.5</v>
      </c>
      <c r="C72" s="44"/>
      <c r="D72" s="44">
        <f t="shared" si="64"/>
        <v>37470498.5</v>
      </c>
      <c r="E72" s="44"/>
      <c r="F72" s="44"/>
      <c r="G72" s="139">
        <f t="shared" si="57"/>
        <v>37470498.5</v>
      </c>
      <c r="H72" s="44">
        <f t="shared" ref="H72:I72" si="74">H60</f>
        <v>141.75</v>
      </c>
      <c r="I72" s="44">
        <f t="shared" si="74"/>
        <v>6.5299999999999994</v>
      </c>
      <c r="J72" s="44">
        <v>31</v>
      </c>
      <c r="K72" s="142">
        <v>1</v>
      </c>
      <c r="L72" s="44">
        <v>29973.231060389044</v>
      </c>
      <c r="M72" s="44">
        <v>0</v>
      </c>
      <c r="N72" s="44">
        <v>27970892</v>
      </c>
      <c r="O72" s="44">
        <f t="shared" si="66"/>
        <v>37797469.231661737</v>
      </c>
      <c r="P72" s="29">
        <f t="shared" si="62"/>
        <v>326970.73166173697</v>
      </c>
      <c r="Q72" s="37">
        <f t="shared" si="63"/>
        <v>8.7260843797350857E-3</v>
      </c>
      <c r="R72" s="120">
        <f t="shared" si="67"/>
        <v>8.7260843797350857E-3</v>
      </c>
      <c r="S72" s="121">
        <f t="shared" si="68"/>
        <v>106909859363.41161</v>
      </c>
      <c r="T72" s="121">
        <f t="shared" si="70"/>
        <v>2304781.2890707925</v>
      </c>
      <c r="U72" s="121">
        <f t="shared" si="71"/>
        <v>5312016790450.8242</v>
      </c>
      <c r="V72"/>
    </row>
    <row r="73" spans="1:22" x14ac:dyDescent="0.2">
      <c r="A73" s="43">
        <v>44530</v>
      </c>
      <c r="B73" s="44">
        <v>39320668.089999996</v>
      </c>
      <c r="C73" s="44"/>
      <c r="D73" s="44">
        <f t="shared" si="64"/>
        <v>39320668.089999996</v>
      </c>
      <c r="E73" s="44"/>
      <c r="F73" s="44"/>
      <c r="G73" s="139">
        <f t="shared" si="57"/>
        <v>39320668.089999996</v>
      </c>
      <c r="H73" s="44">
        <f t="shared" ref="H73:I73" si="75">H61</f>
        <v>304.77999999999992</v>
      </c>
      <c r="I73" s="44">
        <f t="shared" si="75"/>
        <v>0.1</v>
      </c>
      <c r="J73" s="44">
        <v>30</v>
      </c>
      <c r="K73" s="142">
        <v>1</v>
      </c>
      <c r="L73" s="44">
        <v>29999.392256863204</v>
      </c>
      <c r="M73" s="44">
        <v>0</v>
      </c>
      <c r="N73" s="44">
        <v>28892274</v>
      </c>
      <c r="O73" s="44">
        <f t="shared" si="66"/>
        <v>38993582.469016127</v>
      </c>
      <c r="P73" s="29">
        <f t="shared" si="62"/>
        <v>-327085.62098386884</v>
      </c>
      <c r="Q73" s="37">
        <f t="shared" si="63"/>
        <v>-8.3184146371880451E-3</v>
      </c>
      <c r="R73" s="120">
        <f t="shared" si="67"/>
        <v>8.3184146371880451E-3</v>
      </c>
      <c r="S73" s="121">
        <f t="shared" si="68"/>
        <v>106985003454.40309</v>
      </c>
      <c r="T73" s="121">
        <f t="shared" si="70"/>
        <v>-654056.3526456058</v>
      </c>
      <c r="U73" s="121">
        <f t="shared" si="71"/>
        <v>427789712436.07306</v>
      </c>
      <c r="V73"/>
    </row>
    <row r="74" spans="1:22" x14ac:dyDescent="0.2">
      <c r="A74" s="43">
        <v>44561</v>
      </c>
      <c r="B74" s="44">
        <v>42199742.700000003</v>
      </c>
      <c r="C74" s="44"/>
      <c r="D74" s="44">
        <f t="shared" si="64"/>
        <v>42199742.700000003</v>
      </c>
      <c r="E74" s="44"/>
      <c r="F74" s="44"/>
      <c r="G74" s="139">
        <f t="shared" si="57"/>
        <v>42199742.700000003</v>
      </c>
      <c r="H74" s="44">
        <f t="shared" ref="H74:I74" si="76">H62</f>
        <v>460.06000000000006</v>
      </c>
      <c r="I74" s="44">
        <f t="shared" si="76"/>
        <v>0</v>
      </c>
      <c r="J74" s="44">
        <v>31</v>
      </c>
      <c r="K74" s="142">
        <v>0</v>
      </c>
      <c r="L74" s="44">
        <v>30025.577611983674</v>
      </c>
      <c r="M74" s="44">
        <v>0</v>
      </c>
      <c r="N74" s="44">
        <v>27630968</v>
      </c>
      <c r="O74" s="44">
        <f t="shared" si="66"/>
        <v>44576660.267941371</v>
      </c>
      <c r="P74" s="29">
        <f t="shared" si="62"/>
        <v>2376917.5679413676</v>
      </c>
      <c r="Q74" s="37">
        <f t="shared" si="63"/>
        <v>5.6325404276490229E-2</v>
      </c>
      <c r="R74" s="120">
        <f t="shared" si="67"/>
        <v>5.6325404276490229E-2</v>
      </c>
      <c r="S74" s="121">
        <f t="shared" si="68"/>
        <v>5649737124788.3057</v>
      </c>
      <c r="T74" s="121">
        <f t="shared" si="70"/>
        <v>2704003.1889252365</v>
      </c>
      <c r="U74" s="121">
        <f t="shared" si="71"/>
        <v>7311633245717.8477</v>
      </c>
      <c r="V74"/>
    </row>
    <row r="75" spans="1:22" x14ac:dyDescent="0.2">
      <c r="A75" s="43">
        <v>44592</v>
      </c>
      <c r="B75" s="44">
        <v>48172108.559999995</v>
      </c>
      <c r="C75" s="44"/>
      <c r="D75" s="44">
        <f t="shared" si="64"/>
        <v>48172108.559999995</v>
      </c>
      <c r="E75" s="44"/>
      <c r="F75" s="44"/>
      <c r="G75" s="139">
        <f t="shared" si="57"/>
        <v>48172108.559999995</v>
      </c>
      <c r="H75" s="44">
        <f t="shared" ref="H75:I75" si="77">H63</f>
        <v>492.16999999999996</v>
      </c>
      <c r="I75" s="44">
        <f t="shared" si="77"/>
        <v>0</v>
      </c>
      <c r="J75" s="44">
        <v>31</v>
      </c>
      <c r="K75" s="142">
        <v>0</v>
      </c>
      <c r="L75" s="44">
        <v>30058.277057116862</v>
      </c>
      <c r="M75" s="44">
        <v>0</v>
      </c>
      <c r="N75" s="44">
        <v>25270848</v>
      </c>
      <c r="O75" s="44">
        <f t="shared" si="66"/>
        <v>44544299.881708428</v>
      </c>
      <c r="P75" s="29">
        <f t="shared" si="62"/>
        <v>-3627808.6782915667</v>
      </c>
      <c r="Q75" s="37">
        <f t="shared" si="63"/>
        <v>-7.5309318747652662E-2</v>
      </c>
      <c r="R75" s="120">
        <f t="shared" si="67"/>
        <v>7.5309318747652662E-2</v>
      </c>
      <c r="S75" s="121">
        <f t="shared" si="68"/>
        <v>13160995806287.604</v>
      </c>
      <c r="T75" s="121">
        <f t="shared" si="70"/>
        <v>-6004726.2462329343</v>
      </c>
      <c r="U75" s="121">
        <f t="shared" si="71"/>
        <v>36056737292198.664</v>
      </c>
      <c r="V75"/>
    </row>
    <row r="76" spans="1:22" x14ac:dyDescent="0.2">
      <c r="A76" s="43">
        <v>44620</v>
      </c>
      <c r="B76" s="44">
        <v>42676055.632399999</v>
      </c>
      <c r="C76" s="44"/>
      <c r="D76" s="44">
        <f t="shared" si="64"/>
        <v>42676055.632399999</v>
      </c>
      <c r="E76" s="44"/>
      <c r="F76" s="44"/>
      <c r="G76" s="139">
        <f t="shared" si="57"/>
        <v>42676055.632399999</v>
      </c>
      <c r="H76" s="44">
        <f t="shared" ref="H76:I76" si="78">H64</f>
        <v>420.35999999999996</v>
      </c>
      <c r="I76" s="44">
        <f t="shared" si="78"/>
        <v>0</v>
      </c>
      <c r="J76" s="44">
        <v>28</v>
      </c>
      <c r="K76" s="142">
        <v>0</v>
      </c>
      <c r="L76" s="44">
        <v>30091.013157912788</v>
      </c>
      <c r="M76" s="44">
        <v>0</v>
      </c>
      <c r="N76" s="44">
        <v>27257211</v>
      </c>
      <c r="O76" s="44">
        <f t="shared" si="66"/>
        <v>41312424.380474895</v>
      </c>
      <c r="P76" s="29">
        <f t="shared" si="62"/>
        <v>-1363631.2519251034</v>
      </c>
      <c r="Q76" s="37">
        <f t="shared" si="63"/>
        <v>-3.1953076068488011E-2</v>
      </c>
      <c r="R76" s="120">
        <f t="shared" si="67"/>
        <v>3.1953076068488011E-2</v>
      </c>
      <c r="S76" s="121">
        <f t="shared" si="68"/>
        <v>1859490191226.8247</v>
      </c>
      <c r="T76" s="121">
        <f t="shared" si="70"/>
        <v>2264177.4263664633</v>
      </c>
      <c r="U76" s="121">
        <f t="shared" si="71"/>
        <v>5126499418067.4609</v>
      </c>
      <c r="V76"/>
    </row>
    <row r="77" spans="1:22" x14ac:dyDescent="0.2">
      <c r="A77" s="43">
        <v>44651</v>
      </c>
      <c r="B77" s="44">
        <v>43515603.909999996</v>
      </c>
      <c r="C77" s="44"/>
      <c r="D77" s="44">
        <f t="shared" si="64"/>
        <v>43515603.909999996</v>
      </c>
      <c r="E77" s="44"/>
      <c r="F77" s="44"/>
      <c r="G77" s="139">
        <f t="shared" si="57"/>
        <v>43515603.909999996</v>
      </c>
      <c r="H77" s="44">
        <f t="shared" ref="H77:I77" si="79">H65</f>
        <v>361.91</v>
      </c>
      <c r="I77" s="44">
        <f t="shared" si="79"/>
        <v>0</v>
      </c>
      <c r="J77" s="44">
        <v>31</v>
      </c>
      <c r="K77" s="142">
        <v>1</v>
      </c>
      <c r="L77" s="44">
        <v>30123.785954524665</v>
      </c>
      <c r="M77" s="44">
        <v>0</v>
      </c>
      <c r="N77" s="44">
        <v>34138042</v>
      </c>
      <c r="O77" s="44">
        <f t="shared" si="66"/>
        <v>41899775.560502939</v>
      </c>
      <c r="P77" s="29">
        <f t="shared" si="62"/>
        <v>-1615828.3494970575</v>
      </c>
      <c r="Q77" s="37">
        <f t="shared" si="63"/>
        <v>-3.7132159600472329E-2</v>
      </c>
      <c r="R77" s="120">
        <f t="shared" si="67"/>
        <v>3.7132159600472329E-2</v>
      </c>
      <c r="S77" s="121">
        <f t="shared" si="68"/>
        <v>2610901255038.3848</v>
      </c>
      <c r="T77" s="121">
        <f t="shared" si="70"/>
        <v>-252197.09757195413</v>
      </c>
      <c r="U77" s="121">
        <f t="shared" si="71"/>
        <v>63603376023.717751</v>
      </c>
      <c r="V77"/>
    </row>
    <row r="78" spans="1:22" x14ac:dyDescent="0.2">
      <c r="A78" s="43">
        <v>44681</v>
      </c>
      <c r="B78" s="44">
        <v>37355907.443600006</v>
      </c>
      <c r="C78" s="44"/>
      <c r="D78" s="44">
        <f t="shared" si="64"/>
        <v>37355907.443600006</v>
      </c>
      <c r="E78" s="44"/>
      <c r="F78" s="44"/>
      <c r="G78" s="139">
        <f t="shared" si="57"/>
        <v>37355907.443600006</v>
      </c>
      <c r="H78" s="44">
        <f t="shared" ref="H78:I78" si="80">H66</f>
        <v>249.59</v>
      </c>
      <c r="I78" s="44">
        <f t="shared" si="80"/>
        <v>0.2</v>
      </c>
      <c r="J78" s="44">
        <v>30</v>
      </c>
      <c r="K78" s="142">
        <v>1</v>
      </c>
      <c r="L78" s="44">
        <v>30156.595487150847</v>
      </c>
      <c r="M78" s="44">
        <v>0</v>
      </c>
      <c r="N78" s="44">
        <v>30789756</v>
      </c>
      <c r="O78" s="44">
        <f t="shared" si="66"/>
        <v>38751596.06019517</v>
      </c>
      <c r="P78" s="29">
        <f t="shared" si="62"/>
        <v>1395688.6165951639</v>
      </c>
      <c r="Q78" s="37">
        <f t="shared" si="63"/>
        <v>3.736192511726228E-2</v>
      </c>
      <c r="R78" s="120">
        <f t="shared" si="67"/>
        <v>3.736192511726228E-2</v>
      </c>
      <c r="S78" s="121">
        <f t="shared" si="68"/>
        <v>1947946714493.3225</v>
      </c>
      <c r="T78" s="121">
        <f t="shared" si="70"/>
        <v>3011516.9660922214</v>
      </c>
      <c r="U78" s="121">
        <f t="shared" si="71"/>
        <v>9069234437061.2988</v>
      </c>
      <c r="V78"/>
    </row>
    <row r="79" spans="1:22" x14ac:dyDescent="0.2">
      <c r="A79" s="43">
        <v>44712</v>
      </c>
      <c r="B79" s="44">
        <v>37326855.189999998</v>
      </c>
      <c r="C79" s="44"/>
      <c r="D79" s="44">
        <f t="shared" si="64"/>
        <v>37326855.189999998</v>
      </c>
      <c r="E79" s="44"/>
      <c r="F79" s="44"/>
      <c r="G79" s="139">
        <f t="shared" si="57"/>
        <v>37326855.189999998</v>
      </c>
      <c r="H79" s="44">
        <f t="shared" ref="H79:I79" si="81">H67</f>
        <v>107.23999999999998</v>
      </c>
      <c r="I79" s="44">
        <f t="shared" si="81"/>
        <v>12.239999999999998</v>
      </c>
      <c r="J79" s="44">
        <v>31</v>
      </c>
      <c r="K79" s="142">
        <v>1</v>
      </c>
      <c r="L79" s="44">
        <v>30189.441796034902</v>
      </c>
      <c r="M79" s="44">
        <v>0</v>
      </c>
      <c r="N79" s="44">
        <v>31642434</v>
      </c>
      <c r="O79" s="44">
        <f t="shared" si="66"/>
        <v>38631978.975094959</v>
      </c>
      <c r="P79" s="29">
        <f t="shared" si="62"/>
        <v>1305123.7850949615</v>
      </c>
      <c r="Q79" s="37">
        <f t="shared" si="63"/>
        <v>3.4964739956035967E-2</v>
      </c>
      <c r="R79" s="120">
        <f t="shared" si="67"/>
        <v>3.4964739956035967E-2</v>
      </c>
      <c r="S79" s="121">
        <f t="shared" si="68"/>
        <v>1703348094420.5994</v>
      </c>
      <c r="T79" s="121">
        <f t="shared" si="70"/>
        <v>-90564.831500202417</v>
      </c>
      <c r="U79" s="121">
        <f t="shared" si="71"/>
        <v>8201988704.6600561</v>
      </c>
      <c r="V79"/>
    </row>
    <row r="80" spans="1:22" x14ac:dyDescent="0.2">
      <c r="A80" s="43">
        <v>44742</v>
      </c>
      <c r="B80" s="44">
        <v>40689849.420000002</v>
      </c>
      <c r="C80" s="44"/>
      <c r="D80" s="44">
        <f t="shared" si="64"/>
        <v>40689849.420000002</v>
      </c>
      <c r="E80" s="44"/>
      <c r="F80" s="44"/>
      <c r="G80" s="139">
        <f t="shared" si="57"/>
        <v>40689849.420000002</v>
      </c>
      <c r="H80" s="44">
        <f t="shared" ref="H80:I80" si="82">H68</f>
        <v>16.089999999999996</v>
      </c>
      <c r="I80" s="44">
        <f t="shared" si="82"/>
        <v>52.410000000000004</v>
      </c>
      <c r="J80" s="44">
        <v>30</v>
      </c>
      <c r="K80" s="142">
        <v>0</v>
      </c>
      <c r="L80" s="44">
        <v>30222.324921465639</v>
      </c>
      <c r="M80" s="44">
        <v>0</v>
      </c>
      <c r="N80" s="44">
        <v>33600843</v>
      </c>
      <c r="O80" s="44">
        <f t="shared" si="66"/>
        <v>42267889.488204762</v>
      </c>
      <c r="P80" s="29">
        <f t="shared" si="62"/>
        <v>1578040.0682047606</v>
      </c>
      <c r="Q80" s="37">
        <f t="shared" si="63"/>
        <v>3.8782155517860364E-2</v>
      </c>
      <c r="R80" s="120">
        <f t="shared" si="67"/>
        <v>3.8782155517860364E-2</v>
      </c>
      <c r="S80" s="121">
        <f t="shared" si="68"/>
        <v>2490210456859.6855</v>
      </c>
      <c r="T80" s="121">
        <f t="shared" si="70"/>
        <v>272916.28310979903</v>
      </c>
      <c r="U80" s="121">
        <f t="shared" si="71"/>
        <v>74483297586.467972</v>
      </c>
      <c r="V80"/>
    </row>
    <row r="81" spans="1:22" x14ac:dyDescent="0.2">
      <c r="A81" s="43">
        <v>44773</v>
      </c>
      <c r="B81" s="44">
        <v>48663334.230000004</v>
      </c>
      <c r="C81" s="44"/>
      <c r="D81" s="44">
        <f t="shared" si="64"/>
        <v>48663334.230000004</v>
      </c>
      <c r="E81" s="44"/>
      <c r="F81" s="44"/>
      <c r="G81" s="139">
        <f t="shared" si="57"/>
        <v>48663334.230000004</v>
      </c>
      <c r="H81" s="44">
        <f t="shared" ref="H81:I81" si="83">H69</f>
        <v>0.65</v>
      </c>
      <c r="I81" s="44">
        <f t="shared" si="83"/>
        <v>112.46</v>
      </c>
      <c r="J81" s="44">
        <v>31</v>
      </c>
      <c r="K81" s="142">
        <v>0</v>
      </c>
      <c r="L81" s="44">
        <v>30255.244903777173</v>
      </c>
      <c r="M81" s="44">
        <v>1</v>
      </c>
      <c r="N81" s="44">
        <v>29061042</v>
      </c>
      <c r="O81" s="44">
        <f t="shared" si="66"/>
        <v>49160398.200530745</v>
      </c>
      <c r="P81" s="29">
        <f t="shared" si="62"/>
        <v>497063.97053074092</v>
      </c>
      <c r="Q81" s="37">
        <f t="shared" si="63"/>
        <v>1.0214342654398526E-2</v>
      </c>
      <c r="R81" s="120">
        <f t="shared" si="67"/>
        <v>1.0214342654398526E-2</v>
      </c>
      <c r="S81" s="121">
        <f t="shared" si="68"/>
        <v>247072590799.78528</v>
      </c>
      <c r="T81" s="121">
        <f t="shared" si="70"/>
        <v>-1080976.0976740196</v>
      </c>
      <c r="U81" s="121">
        <f t="shared" si="71"/>
        <v>1168509323742.5518</v>
      </c>
      <c r="V81"/>
    </row>
    <row r="82" spans="1:22" x14ac:dyDescent="0.2">
      <c r="A82" s="43">
        <v>44804</v>
      </c>
      <c r="B82" s="44">
        <v>50305270.650000006</v>
      </c>
      <c r="C82" s="44"/>
      <c r="D82" s="44">
        <f t="shared" si="64"/>
        <v>50305270.650000006</v>
      </c>
      <c r="E82" s="44"/>
      <c r="F82" s="44"/>
      <c r="G82" s="139">
        <f t="shared" si="57"/>
        <v>50305270.650000006</v>
      </c>
      <c r="H82" s="44">
        <f t="shared" ref="H82:I82" si="84">H70</f>
        <v>3.2599999999999993</v>
      </c>
      <c r="I82" s="44">
        <f t="shared" si="84"/>
        <v>112.46</v>
      </c>
      <c r="J82" s="44">
        <v>31</v>
      </c>
      <c r="K82" s="142">
        <v>0</v>
      </c>
      <c r="L82" s="44">
        <v>30288.201783348959</v>
      </c>
      <c r="M82" s="44">
        <v>1</v>
      </c>
      <c r="N82" s="44">
        <v>32383717</v>
      </c>
      <c r="O82" s="44">
        <f t="shared" si="66"/>
        <v>49935263.075696811</v>
      </c>
      <c r="P82" s="29">
        <f t="shared" si="62"/>
        <v>-370007.57430319488</v>
      </c>
      <c r="Q82" s="37">
        <f t="shared" si="63"/>
        <v>-7.3552446795790141E-3</v>
      </c>
      <c r="R82" s="120">
        <f t="shared" si="67"/>
        <v>7.3552446795790141E-3</v>
      </c>
      <c r="S82" s="121">
        <f t="shared" si="68"/>
        <v>136905605041.73428</v>
      </c>
      <c r="T82" s="121">
        <f t="shared" si="70"/>
        <v>-867071.5448339358</v>
      </c>
      <c r="U82" s="121">
        <f t="shared" si="71"/>
        <v>751813063860.70789</v>
      </c>
      <c r="V82"/>
    </row>
    <row r="83" spans="1:22" x14ac:dyDescent="0.2">
      <c r="A83" s="43">
        <v>44834</v>
      </c>
      <c r="B83" s="44">
        <v>39382537.389999993</v>
      </c>
      <c r="C83" s="44"/>
      <c r="D83" s="44">
        <f t="shared" si="64"/>
        <v>39382537.389999993</v>
      </c>
      <c r="E83" s="44"/>
      <c r="F83" s="44"/>
      <c r="G83" s="139">
        <f t="shared" si="57"/>
        <v>39382537.389999993</v>
      </c>
      <c r="H83" s="44">
        <f t="shared" ref="H83:I83" si="85">H71</f>
        <v>28.679999999999996</v>
      </c>
      <c r="I83" s="44">
        <f t="shared" si="85"/>
        <v>44.01</v>
      </c>
      <c r="J83" s="44">
        <v>30</v>
      </c>
      <c r="K83" s="142">
        <v>1</v>
      </c>
      <c r="L83" s="44">
        <v>30321.195600605864</v>
      </c>
      <c r="M83" s="44">
        <v>0</v>
      </c>
      <c r="N83" s="44">
        <v>32071846</v>
      </c>
      <c r="O83" s="44">
        <f t="shared" si="66"/>
        <v>38876509.65971683</v>
      </c>
      <c r="P83" s="29">
        <f t="shared" si="62"/>
        <v>-506027.73028316349</v>
      </c>
      <c r="Q83" s="37">
        <f t="shared" si="63"/>
        <v>-1.2849038274807909E-2</v>
      </c>
      <c r="R83" s="120">
        <f t="shared" si="67"/>
        <v>1.2849038274807909E-2</v>
      </c>
      <c r="S83" s="121">
        <f t="shared" si="68"/>
        <v>256064063815.53006</v>
      </c>
      <c r="T83" s="121">
        <f t="shared" si="70"/>
        <v>-136020.15597996861</v>
      </c>
      <c r="U83" s="121">
        <f t="shared" si="71"/>
        <v>18501482832.814991</v>
      </c>
      <c r="V83"/>
    </row>
    <row r="84" spans="1:22" x14ac:dyDescent="0.2">
      <c r="A84" s="43">
        <v>44865</v>
      </c>
      <c r="B84" s="44">
        <v>37553806.789999999</v>
      </c>
      <c r="C84" s="44"/>
      <c r="D84" s="44">
        <f t="shared" si="64"/>
        <v>37553806.789999999</v>
      </c>
      <c r="E84" s="44"/>
      <c r="F84" s="44"/>
      <c r="G84" s="139">
        <f t="shared" si="57"/>
        <v>37553806.789999999</v>
      </c>
      <c r="H84" s="44">
        <f t="shared" ref="H84:I84" si="86">H72</f>
        <v>141.75</v>
      </c>
      <c r="I84" s="44">
        <f t="shared" si="86"/>
        <v>6.5299999999999994</v>
      </c>
      <c r="J84" s="44">
        <v>31</v>
      </c>
      <c r="K84" s="142">
        <v>1</v>
      </c>
      <c r="L84" s="44">
        <v>30354.226396018206</v>
      </c>
      <c r="M84" s="44">
        <v>0</v>
      </c>
      <c r="N84" s="44">
        <v>31414203</v>
      </c>
      <c r="O84" s="44">
        <f t="shared" si="66"/>
        <v>38822041.080830559</v>
      </c>
      <c r="P84" s="29">
        <f t="shared" si="62"/>
        <v>1268234.29083056</v>
      </c>
      <c r="Q84" s="37">
        <f t="shared" si="63"/>
        <v>3.3771124667134181E-2</v>
      </c>
      <c r="R84" s="120">
        <f t="shared" si="67"/>
        <v>3.3771124667134181E-2</v>
      </c>
      <c r="S84" s="121">
        <f t="shared" si="68"/>
        <v>1608418216438.4934</v>
      </c>
      <c r="T84" s="121">
        <f t="shared" si="70"/>
        <v>1774262.0211137235</v>
      </c>
      <c r="U84" s="121">
        <f t="shared" si="71"/>
        <v>3148005719566.5552</v>
      </c>
      <c r="V84"/>
    </row>
    <row r="85" spans="1:22" x14ac:dyDescent="0.2">
      <c r="A85" s="43">
        <v>44895</v>
      </c>
      <c r="B85" s="44">
        <v>40003680.919999994</v>
      </c>
      <c r="C85" s="44"/>
      <c r="D85" s="44">
        <f t="shared" si="64"/>
        <v>40003680.919999994</v>
      </c>
      <c r="E85" s="44"/>
      <c r="F85" s="44"/>
      <c r="G85" s="139">
        <f t="shared" si="57"/>
        <v>40003680.919999994</v>
      </c>
      <c r="H85" s="44">
        <f t="shared" ref="H85:I85" si="87">H73</f>
        <v>304.77999999999992</v>
      </c>
      <c r="I85" s="44">
        <f t="shared" si="87"/>
        <v>0.1</v>
      </c>
      <c r="J85" s="44">
        <v>30</v>
      </c>
      <c r="K85" s="142">
        <v>1</v>
      </c>
      <c r="L85" s="44">
        <v>30387.294210101794</v>
      </c>
      <c r="M85" s="44">
        <v>0</v>
      </c>
      <c r="N85" s="44">
        <v>32695844</v>
      </c>
      <c r="O85" s="44">
        <f t="shared" si="66"/>
        <v>40100695.83148963</v>
      </c>
      <c r="P85" s="29">
        <f t="shared" si="62"/>
        <v>97014.911489635706</v>
      </c>
      <c r="Q85" s="37">
        <f t="shared" si="63"/>
        <v>2.4251496176976237E-3</v>
      </c>
      <c r="R85" s="120">
        <f t="shared" si="67"/>
        <v>2.4251496176976237E-3</v>
      </c>
      <c r="S85" s="121">
        <f t="shared" si="68"/>
        <v>9411893051.3418503</v>
      </c>
      <c r="T85" s="121">
        <f t="shared" si="70"/>
        <v>-1171219.3793409243</v>
      </c>
      <c r="U85" s="121">
        <f t="shared" si="71"/>
        <v>1371754834543.74</v>
      </c>
      <c r="V85"/>
    </row>
    <row r="86" spans="1:22" x14ac:dyDescent="0.2">
      <c r="A86" s="43">
        <v>44926</v>
      </c>
      <c r="B86" s="44">
        <v>43494268.570000008</v>
      </c>
      <c r="C86" s="44"/>
      <c r="D86" s="44">
        <f t="shared" si="64"/>
        <v>43494268.570000008</v>
      </c>
      <c r="E86" s="44"/>
      <c r="F86" s="44"/>
      <c r="G86" s="139">
        <f t="shared" si="57"/>
        <v>43494268.570000008</v>
      </c>
      <c r="H86" s="44">
        <f t="shared" ref="H86:I86" si="88">H74</f>
        <v>460.06000000000006</v>
      </c>
      <c r="I86" s="44">
        <f t="shared" si="88"/>
        <v>0</v>
      </c>
      <c r="J86" s="44">
        <v>31</v>
      </c>
      <c r="K86" s="142">
        <v>0</v>
      </c>
      <c r="L86" s="44">
        <v>30420.399083417979</v>
      </c>
      <c r="M86" s="44">
        <v>0</v>
      </c>
      <c r="N86" s="44">
        <v>29643493</v>
      </c>
      <c r="O86" s="44">
        <f t="shared" si="66"/>
        <v>45304279.733435974</v>
      </c>
      <c r="P86" s="29">
        <f t="shared" si="62"/>
        <v>1810011.1634359658</v>
      </c>
      <c r="Q86" s="37">
        <f t="shared" si="63"/>
        <v>4.1614935092492013E-2</v>
      </c>
      <c r="R86" s="120">
        <f t="shared" si="67"/>
        <v>4.1614935092492013E-2</v>
      </c>
      <c r="S86" s="121">
        <f t="shared" si="68"/>
        <v>3276140411762.8184</v>
      </c>
      <c r="T86" s="121">
        <f t="shared" si="70"/>
        <v>1712996.2519463301</v>
      </c>
      <c r="U86" s="121">
        <f t="shared" si="71"/>
        <v>2934356159182.1748</v>
      </c>
      <c r="V86"/>
    </row>
    <row r="87" spans="1:22" x14ac:dyDescent="0.2">
      <c r="A87" s="43">
        <v>44957</v>
      </c>
      <c r="B87" s="44">
        <v>45510419.480000004</v>
      </c>
      <c r="C87" s="44"/>
      <c r="D87" s="44">
        <f t="shared" si="64"/>
        <v>45510419.480000004</v>
      </c>
      <c r="E87" s="44"/>
      <c r="F87" s="44"/>
      <c r="G87" s="139">
        <f t="shared" si="57"/>
        <v>45510419.480000004</v>
      </c>
      <c r="H87" s="44">
        <f t="shared" ref="H87:I87" si="89">H75</f>
        <v>492.16999999999996</v>
      </c>
      <c r="I87" s="44">
        <f t="shared" si="89"/>
        <v>0</v>
      </c>
      <c r="J87" s="87">
        <v>31</v>
      </c>
      <c r="K87" s="142">
        <v>0</v>
      </c>
      <c r="L87" s="44">
        <v>30443.344336572201</v>
      </c>
      <c r="M87" s="44">
        <v>0</v>
      </c>
      <c r="N87" s="44">
        <v>30319221</v>
      </c>
      <c r="O87" s="44">
        <f t="shared" si="66"/>
        <v>45916644.357816555</v>
      </c>
      <c r="P87" s="29">
        <f t="shared" si="62"/>
        <v>406224.87781655043</v>
      </c>
      <c r="Q87" s="37">
        <f t="shared" si="63"/>
        <v>8.9259752482630898E-3</v>
      </c>
      <c r="R87" s="120">
        <f t="shared" si="67"/>
        <v>8.9259752482630898E-3</v>
      </c>
      <c r="S87" s="121">
        <f t="shared" si="68"/>
        <v>165018651357.07132</v>
      </c>
      <c r="T87" s="121">
        <f t="shared" si="70"/>
        <v>-1403786.2856194153</v>
      </c>
      <c r="U87" s="121">
        <f t="shared" si="71"/>
        <v>1970615935693.1548</v>
      </c>
      <c r="V87"/>
    </row>
    <row r="88" spans="1:22" x14ac:dyDescent="0.2">
      <c r="A88" s="43">
        <v>44985</v>
      </c>
      <c r="B88" s="44">
        <v>40593634.479999997</v>
      </c>
      <c r="C88" s="44"/>
      <c r="D88" s="44">
        <f t="shared" si="64"/>
        <v>40593634.479999997</v>
      </c>
      <c r="E88" s="44"/>
      <c r="F88" s="44"/>
      <c r="G88" s="139">
        <f t="shared" si="57"/>
        <v>40593634.479999997</v>
      </c>
      <c r="H88" s="44">
        <f t="shared" ref="H88:I88" si="90">H76</f>
        <v>420.35999999999996</v>
      </c>
      <c r="I88" s="44">
        <f t="shared" si="90"/>
        <v>0</v>
      </c>
      <c r="J88" s="87">
        <v>28</v>
      </c>
      <c r="K88" s="142">
        <v>0</v>
      </c>
      <c r="L88" s="44">
        <v>30466.308746494415</v>
      </c>
      <c r="M88" s="44">
        <v>0</v>
      </c>
      <c r="N88" s="44">
        <v>28706074</v>
      </c>
      <c r="O88" s="44">
        <f t="shared" si="66"/>
        <v>41904375.631744944</v>
      </c>
      <c r="P88" s="29">
        <f t="shared" si="62"/>
        <v>1310741.1517449468</v>
      </c>
      <c r="Q88" s="37">
        <f t="shared" si="63"/>
        <v>3.2289327342461378E-2</v>
      </c>
      <c r="R88" s="120">
        <f t="shared" si="67"/>
        <v>3.2289327342461378E-2</v>
      </c>
      <c r="S88" s="121">
        <f t="shared" si="68"/>
        <v>1718042366877.6697</v>
      </c>
      <c r="T88" s="121">
        <f t="shared" si="70"/>
        <v>904516.2739283964</v>
      </c>
      <c r="U88" s="121">
        <f t="shared" si="71"/>
        <v>818149689801.30981</v>
      </c>
      <c r="V88"/>
    </row>
    <row r="89" spans="1:22" x14ac:dyDescent="0.2">
      <c r="A89" s="43">
        <v>45016</v>
      </c>
      <c r="B89" s="44">
        <v>43934162.409999996</v>
      </c>
      <c r="C89" s="44"/>
      <c r="D89" s="44">
        <f t="shared" si="64"/>
        <v>43934162.409999996</v>
      </c>
      <c r="E89" s="44"/>
      <c r="F89" s="44"/>
      <c r="G89" s="139">
        <f t="shared" si="57"/>
        <v>43934162.409999996</v>
      </c>
      <c r="H89" s="44">
        <f t="shared" ref="H89:I89" si="91">H77</f>
        <v>361.91</v>
      </c>
      <c r="I89" s="44">
        <f t="shared" si="91"/>
        <v>0</v>
      </c>
      <c r="J89" s="87">
        <v>31</v>
      </c>
      <c r="K89" s="142">
        <v>1</v>
      </c>
      <c r="L89" s="44">
        <v>30489.292329108735</v>
      </c>
      <c r="M89" s="44">
        <v>0</v>
      </c>
      <c r="N89" s="44">
        <v>35137172</v>
      </c>
      <c r="O89" s="44">
        <f t="shared" si="66"/>
        <v>42387811.99506744</v>
      </c>
      <c r="P89" s="29">
        <f t="shared" si="62"/>
        <v>-1546350.4149325565</v>
      </c>
      <c r="Q89" s="37">
        <f t="shared" si="63"/>
        <v>-3.519699318497959E-2</v>
      </c>
      <c r="R89" s="120">
        <f t="shared" si="67"/>
        <v>3.519699318497959E-2</v>
      </c>
      <c r="S89" s="121">
        <f t="shared" si="68"/>
        <v>2391199605762.0894</v>
      </c>
      <c r="T89" s="121">
        <f t="shared" si="70"/>
        <v>-2857091.5666775033</v>
      </c>
      <c r="U89" s="121">
        <f t="shared" si="71"/>
        <v>8162972220379.71</v>
      </c>
      <c r="V89"/>
    </row>
    <row r="90" spans="1:22" x14ac:dyDescent="0.2">
      <c r="A90" s="43">
        <v>45046</v>
      </c>
      <c r="B90" s="44">
        <v>36677861.57</v>
      </c>
      <c r="C90" s="44"/>
      <c r="D90" s="44">
        <f t="shared" si="64"/>
        <v>36677861.57</v>
      </c>
      <c r="E90" s="44"/>
      <c r="F90" s="44"/>
      <c r="G90" s="139">
        <f t="shared" si="57"/>
        <v>36677861.57</v>
      </c>
      <c r="H90" s="44">
        <f t="shared" ref="H90:I90" si="92">H78</f>
        <v>249.59</v>
      </c>
      <c r="I90" s="44">
        <f t="shared" si="92"/>
        <v>0.2</v>
      </c>
      <c r="J90" s="87">
        <v>30</v>
      </c>
      <c r="K90" s="142">
        <v>1</v>
      </c>
      <c r="L90" s="44">
        <v>30512.295100352523</v>
      </c>
      <c r="M90" s="44">
        <v>0</v>
      </c>
      <c r="N90" s="44">
        <v>30806218</v>
      </c>
      <c r="O90" s="44">
        <f t="shared" si="66"/>
        <v>39021243.746454224</v>
      </c>
      <c r="P90" s="29">
        <f t="shared" si="62"/>
        <v>2343382.1764542237</v>
      </c>
      <c r="Q90" s="37">
        <f t="shared" si="63"/>
        <v>6.3890916104306125E-2</v>
      </c>
      <c r="R90" s="120">
        <f t="shared" si="67"/>
        <v>6.3890916104306125E-2</v>
      </c>
      <c r="S90" s="121">
        <f t="shared" si="68"/>
        <v>5491440024923.334</v>
      </c>
      <c r="T90" s="121">
        <f t="shared" si="70"/>
        <v>3889732.5913867801</v>
      </c>
      <c r="U90" s="121">
        <f t="shared" si="71"/>
        <v>15130019632496.516</v>
      </c>
      <c r="V90"/>
    </row>
    <row r="91" spans="1:22" x14ac:dyDescent="0.2">
      <c r="A91" s="43">
        <v>45077</v>
      </c>
      <c r="B91" s="44">
        <v>36888674.030000001</v>
      </c>
      <c r="C91" s="44"/>
      <c r="D91" s="44">
        <f t="shared" si="64"/>
        <v>36888674.030000001</v>
      </c>
      <c r="E91" s="44"/>
      <c r="F91" s="44"/>
      <c r="G91" s="139">
        <f t="shared" si="57"/>
        <v>36888674.030000001</v>
      </c>
      <c r="H91" s="44">
        <f t="shared" ref="H91:I91" si="93">H79</f>
        <v>107.23999999999998</v>
      </c>
      <c r="I91" s="44">
        <f t="shared" si="93"/>
        <v>12.239999999999998</v>
      </c>
      <c r="J91" s="87">
        <v>31</v>
      </c>
      <c r="K91" s="142">
        <v>1</v>
      </c>
      <c r="L91" s="44">
        <v>30535.317076176383</v>
      </c>
      <c r="M91" s="44">
        <v>0</v>
      </c>
      <c r="N91" s="44">
        <v>35610160</v>
      </c>
      <c r="O91" s="44">
        <f t="shared" si="66"/>
        <v>39742907.134238794</v>
      </c>
      <c r="P91" s="29">
        <f t="shared" si="62"/>
        <v>2854233.1042387933</v>
      </c>
      <c r="Q91" s="37">
        <f t="shared" si="63"/>
        <v>7.7374239635655262E-2</v>
      </c>
      <c r="R91" s="120">
        <f t="shared" si="67"/>
        <v>7.7374239635655262E-2</v>
      </c>
      <c r="S91" s="121">
        <f t="shared" si="68"/>
        <v>8146646613332.6182</v>
      </c>
      <c r="T91" s="121">
        <f t="shared" si="70"/>
        <v>510850.92778456956</v>
      </c>
      <c r="U91" s="121">
        <f t="shared" si="71"/>
        <v>260968670418.3555</v>
      </c>
      <c r="V91"/>
    </row>
    <row r="92" spans="1:22" x14ac:dyDescent="0.2">
      <c r="A92" s="43">
        <v>45107</v>
      </c>
      <c r="B92" s="44">
        <v>40222295.869999997</v>
      </c>
      <c r="C92" s="44"/>
      <c r="D92" s="44">
        <f t="shared" si="64"/>
        <v>40222295.869999997</v>
      </c>
      <c r="E92" s="44"/>
      <c r="F92" s="44"/>
      <c r="G92" s="139">
        <f t="shared" si="57"/>
        <v>40222295.869999997</v>
      </c>
      <c r="H92" s="44">
        <f t="shared" ref="H92:I92" si="94">H80</f>
        <v>16.089999999999996</v>
      </c>
      <c r="I92" s="44">
        <f t="shared" si="94"/>
        <v>52.410000000000004</v>
      </c>
      <c r="J92" s="87">
        <v>30</v>
      </c>
      <c r="K92" s="142">
        <v>0</v>
      </c>
      <c r="L92" s="44">
        <v>30558.358272544192</v>
      </c>
      <c r="M92" s="44">
        <v>0</v>
      </c>
      <c r="N92" s="44">
        <v>35430157</v>
      </c>
      <c r="O92" s="44">
        <f t="shared" si="66"/>
        <v>42912178.345371731</v>
      </c>
      <c r="P92" s="29">
        <f t="shared" si="62"/>
        <v>2689882.4753717333</v>
      </c>
      <c r="Q92" s="37">
        <f t="shared" si="63"/>
        <v>6.687540870529958E-2</v>
      </c>
      <c r="R92" s="120">
        <f t="shared" si="67"/>
        <v>6.687540870529958E-2</v>
      </c>
      <c r="S92" s="121">
        <f t="shared" si="68"/>
        <v>7235467731311.9639</v>
      </c>
      <c r="T92" s="121">
        <f t="shared" si="70"/>
        <v>-164350.62886705995</v>
      </c>
      <c r="U92" s="121">
        <f t="shared" si="71"/>
        <v>27011129208.998077</v>
      </c>
      <c r="V92"/>
    </row>
    <row r="93" spans="1:22" x14ac:dyDescent="0.2">
      <c r="A93" s="43">
        <v>45138</v>
      </c>
      <c r="B93" s="44">
        <v>49568677.709999993</v>
      </c>
      <c r="C93" s="44"/>
      <c r="D93" s="44">
        <f t="shared" si="64"/>
        <v>49568677.709999993</v>
      </c>
      <c r="E93" s="44"/>
      <c r="F93" s="44"/>
      <c r="G93" s="139">
        <f t="shared" si="57"/>
        <v>49568677.709999993</v>
      </c>
      <c r="H93" s="44">
        <f t="shared" ref="H93:I93" si="95">H81</f>
        <v>0.65</v>
      </c>
      <c r="I93" s="44">
        <f t="shared" si="95"/>
        <v>112.46</v>
      </c>
      <c r="J93" s="87">
        <v>31</v>
      </c>
      <c r="K93" s="142">
        <v>0</v>
      </c>
      <c r="L93" s="44">
        <v>30581.418705433098</v>
      </c>
      <c r="M93" s="44">
        <v>1</v>
      </c>
      <c r="N93" s="44">
        <v>30739689</v>
      </c>
      <c r="O93" s="44">
        <f t="shared" si="66"/>
        <v>49764951.346149996</v>
      </c>
      <c r="P93" s="29">
        <f t="shared" si="62"/>
        <v>196273.63615000248</v>
      </c>
      <c r="Q93" s="37">
        <f t="shared" si="63"/>
        <v>3.9596302588157644E-3</v>
      </c>
      <c r="R93" s="120">
        <f t="shared" si="67"/>
        <v>3.9596302588157644E-3</v>
      </c>
      <c r="S93" s="121">
        <f t="shared" si="68"/>
        <v>38523340247.543564</v>
      </c>
      <c r="T93" s="121">
        <f t="shared" si="70"/>
        <v>-2493608.8392217308</v>
      </c>
      <c r="U93" s="121">
        <f t="shared" si="71"/>
        <v>6218085043044.748</v>
      </c>
      <c r="V93"/>
    </row>
    <row r="94" spans="1:22" x14ac:dyDescent="0.2">
      <c r="A94" s="43">
        <v>45169</v>
      </c>
      <c r="B94" s="44">
        <v>45201847.869999997</v>
      </c>
      <c r="C94" s="44"/>
      <c r="D94" s="44">
        <f t="shared" si="64"/>
        <v>45201847.869999997</v>
      </c>
      <c r="E94" s="44"/>
      <c r="F94" s="44"/>
      <c r="G94" s="139">
        <f t="shared" si="57"/>
        <v>45201847.869999997</v>
      </c>
      <c r="H94" s="44">
        <f t="shared" ref="H94:I94" si="96">H82</f>
        <v>3.2599999999999993</v>
      </c>
      <c r="I94" s="44">
        <f t="shared" si="96"/>
        <v>112.46</v>
      </c>
      <c r="J94" s="87">
        <v>31</v>
      </c>
      <c r="K94" s="142">
        <v>0</v>
      </c>
      <c r="L94" s="44">
        <v>30604.498390833527</v>
      </c>
      <c r="M94" s="44">
        <v>1</v>
      </c>
      <c r="N94" s="44">
        <v>34951158</v>
      </c>
      <c r="O94" s="44">
        <f t="shared" si="66"/>
        <v>50723316.939008929</v>
      </c>
      <c r="P94" s="29">
        <f t="shared" si="62"/>
        <v>5521469.0690089315</v>
      </c>
      <c r="Q94" s="37">
        <f t="shared" si="63"/>
        <v>0.12215140152872984</v>
      </c>
      <c r="R94" s="120">
        <f t="shared" si="67"/>
        <v>0.12215140152872984</v>
      </c>
      <c r="S94" s="121">
        <f t="shared" si="68"/>
        <v>30486620680022.355</v>
      </c>
      <c r="T94" s="121">
        <f t="shared" si="70"/>
        <v>5325195.432858929</v>
      </c>
      <c r="U94" s="121">
        <f t="shared" si="71"/>
        <v>28357706398141.598</v>
      </c>
      <c r="V94"/>
    </row>
    <row r="95" spans="1:22" x14ac:dyDescent="0.2">
      <c r="A95" s="43">
        <v>45199</v>
      </c>
      <c r="B95" s="44">
        <v>39637735.119999997</v>
      </c>
      <c r="C95" s="44"/>
      <c r="D95" s="44">
        <f t="shared" si="64"/>
        <v>39637735.119999997</v>
      </c>
      <c r="E95" s="44"/>
      <c r="F95" s="44"/>
      <c r="G95" s="139">
        <f t="shared" si="57"/>
        <v>39637735.119999997</v>
      </c>
      <c r="H95" s="44">
        <f t="shared" ref="H95:I95" si="97">H83</f>
        <v>28.679999999999996</v>
      </c>
      <c r="I95" s="44">
        <f t="shared" si="97"/>
        <v>44.01</v>
      </c>
      <c r="J95" s="87">
        <v>30</v>
      </c>
      <c r="K95" s="142">
        <v>1</v>
      </c>
      <c r="L95" s="44">
        <v>30627.597344749222</v>
      </c>
      <c r="M95" s="44">
        <v>0</v>
      </c>
      <c r="N95" s="44">
        <v>33705088</v>
      </c>
      <c r="O95" s="44">
        <f t="shared" si="66"/>
        <v>39456518.763583146</v>
      </c>
      <c r="P95" s="29">
        <f t="shared" si="62"/>
        <v>-181216.35641685128</v>
      </c>
      <c r="Q95" s="37">
        <f t="shared" si="63"/>
        <v>-4.5718141026028251E-3</v>
      </c>
      <c r="R95" s="120">
        <f t="shared" si="67"/>
        <v>4.5718141026028251E-3</v>
      </c>
      <c r="S95" s="121">
        <f t="shared" si="68"/>
        <v>32839367832.999275</v>
      </c>
      <c r="T95" s="121">
        <f t="shared" si="70"/>
        <v>-5702685.4254257828</v>
      </c>
      <c r="U95" s="121">
        <f t="shared" si="71"/>
        <v>32520621061363.641</v>
      </c>
      <c r="V95"/>
    </row>
    <row r="96" spans="1:22" x14ac:dyDescent="0.2">
      <c r="A96" s="43">
        <v>45230</v>
      </c>
      <c r="B96" s="44">
        <v>38621809.75</v>
      </c>
      <c r="C96" s="44"/>
      <c r="D96" s="44">
        <f t="shared" si="64"/>
        <v>38621809.75</v>
      </c>
      <c r="E96" s="44"/>
      <c r="F96" s="44"/>
      <c r="G96" s="139">
        <f t="shared" si="57"/>
        <v>38621809.75</v>
      </c>
      <c r="H96" s="44">
        <f t="shared" ref="H96:I96" si="98">H84</f>
        <v>141.75</v>
      </c>
      <c r="I96" s="44">
        <f t="shared" si="98"/>
        <v>6.5299999999999994</v>
      </c>
      <c r="J96" s="87">
        <v>31</v>
      </c>
      <c r="K96" s="142">
        <v>1</v>
      </c>
      <c r="L96" s="44">
        <v>30650.715583197216</v>
      </c>
      <c r="M96" s="44">
        <v>0</v>
      </c>
      <c r="N96" s="44">
        <v>32086092</v>
      </c>
      <c r="O96" s="44">
        <f t="shared" si="66"/>
        <v>39188160.203485131</v>
      </c>
      <c r="P96" s="29">
        <f t="shared" si="62"/>
        <v>566350.45348513126</v>
      </c>
      <c r="Q96" s="37">
        <f t="shared" si="63"/>
        <v>1.4664006092700802E-2</v>
      </c>
      <c r="R96" s="120">
        <f t="shared" si="67"/>
        <v>1.4664006092700802E-2</v>
      </c>
      <c r="S96" s="121">
        <f t="shared" si="68"/>
        <v>320752836162.81384</v>
      </c>
      <c r="T96" s="121">
        <f t="shared" si="70"/>
        <v>747566.80990198255</v>
      </c>
      <c r="U96" s="121">
        <f t="shared" si="71"/>
        <v>558856135267.02686</v>
      </c>
      <c r="V96"/>
    </row>
    <row r="97" spans="1:22" x14ac:dyDescent="0.2">
      <c r="A97" s="43">
        <v>45260</v>
      </c>
      <c r="B97" s="44">
        <v>40520985.550000004</v>
      </c>
      <c r="C97" s="44"/>
      <c r="D97" s="44">
        <f t="shared" si="64"/>
        <v>40520985.550000004</v>
      </c>
      <c r="E97" s="44"/>
      <c r="F97" s="44"/>
      <c r="G97" s="139">
        <f t="shared" si="57"/>
        <v>40520985.550000004</v>
      </c>
      <c r="H97" s="44">
        <f t="shared" ref="H97:I97" si="99">H85</f>
        <v>304.77999999999992</v>
      </c>
      <c r="I97" s="44">
        <f t="shared" si="99"/>
        <v>0.1</v>
      </c>
      <c r="J97" s="87">
        <v>30</v>
      </c>
      <c r="K97" s="142">
        <v>1</v>
      </c>
      <c r="L97" s="44">
        <v>30673.853122207878</v>
      </c>
      <c r="M97" s="44">
        <v>0</v>
      </c>
      <c r="N97" s="44">
        <v>33676082</v>
      </c>
      <c r="O97" s="44">
        <f t="shared" si="66"/>
        <v>40525611.223759487</v>
      </c>
      <c r="P97" s="29">
        <f t="shared" si="62"/>
        <v>4625.673759482801</v>
      </c>
      <c r="Q97" s="37">
        <f t="shared" si="63"/>
        <v>1.1415501614034165E-4</v>
      </c>
      <c r="R97" s="120">
        <f t="shared" si="67"/>
        <v>1.1415501614034165E-4</v>
      </c>
      <c r="S97" s="121">
        <f t="shared" si="68"/>
        <v>21396857.729167748</v>
      </c>
      <c r="T97" s="121">
        <f t="shared" si="70"/>
        <v>-561724.77972564846</v>
      </c>
      <c r="U97" s="121">
        <f t="shared" si="71"/>
        <v>315534728157.82831</v>
      </c>
      <c r="V97"/>
    </row>
    <row r="98" spans="1:22" x14ac:dyDescent="0.2">
      <c r="A98" s="43">
        <v>45291</v>
      </c>
      <c r="B98" s="44">
        <v>42198963.640000001</v>
      </c>
      <c r="C98" s="44"/>
      <c r="D98" s="44">
        <f t="shared" si="64"/>
        <v>42198963.640000001</v>
      </c>
      <c r="E98" s="44"/>
      <c r="F98" s="44"/>
      <c r="G98" s="139">
        <f t="shared" si="57"/>
        <v>42198963.640000001</v>
      </c>
      <c r="H98" s="44">
        <f t="shared" ref="H98:I98" si="100">H86</f>
        <v>460.06000000000006</v>
      </c>
      <c r="I98" s="44">
        <f t="shared" si="100"/>
        <v>0</v>
      </c>
      <c r="J98" s="87">
        <v>31</v>
      </c>
      <c r="K98" s="142">
        <v>0</v>
      </c>
      <c r="L98" s="44">
        <v>30697.009977824891</v>
      </c>
      <c r="M98" s="44">
        <v>0</v>
      </c>
      <c r="N98" s="44">
        <v>28525472</v>
      </c>
      <c r="O98" s="44">
        <f t="shared" si="66"/>
        <v>45271100.29203923</v>
      </c>
      <c r="P98" s="29">
        <f t="shared" si="62"/>
        <v>3072136.6520392299</v>
      </c>
      <c r="Q98" s="37">
        <f t="shared" si="63"/>
        <v>7.2801234604898693E-2</v>
      </c>
      <c r="R98" s="120">
        <f t="shared" si="67"/>
        <v>7.2801234604898693E-2</v>
      </c>
      <c r="S98" s="121">
        <f t="shared" si="68"/>
        <v>9438023608802.8086</v>
      </c>
      <c r="T98" s="121">
        <f t="shared" si="70"/>
        <v>3067510.9782797471</v>
      </c>
      <c r="U98" s="121">
        <f t="shared" si="71"/>
        <v>9409623601866.7715</v>
      </c>
      <c r="V98"/>
    </row>
    <row r="99" spans="1:22" x14ac:dyDescent="0.2">
      <c r="A99" s="43">
        <v>45322</v>
      </c>
      <c r="B99" s="44">
        <v>47060012.019999996</v>
      </c>
      <c r="C99" s="44"/>
      <c r="D99" s="44">
        <f t="shared" si="64"/>
        <v>47060012.019999996</v>
      </c>
      <c r="E99" s="44"/>
      <c r="F99" s="44"/>
      <c r="G99" s="139">
        <f t="shared" si="57"/>
        <v>47060012.019999996</v>
      </c>
      <c r="H99" s="44">
        <f t="shared" ref="H99:I99" si="101">H87</f>
        <v>492.16999999999996</v>
      </c>
      <c r="I99" s="44">
        <f t="shared" si="101"/>
        <v>0</v>
      </c>
      <c r="J99" s="44">
        <v>31</v>
      </c>
      <c r="K99" s="142">
        <v>0</v>
      </c>
      <c r="L99" s="44">
        <v>30715.120271248321</v>
      </c>
      <c r="M99" s="44">
        <v>0</v>
      </c>
      <c r="N99" s="44">
        <v>30250424</v>
      </c>
      <c r="O99" s="44">
        <f t="shared" si="66"/>
        <v>46105194.176328532</v>
      </c>
      <c r="P99" s="29">
        <f t="shared" si="62"/>
        <v>-954817.84367146343</v>
      </c>
      <c r="Q99" s="37">
        <f t="shared" si="63"/>
        <v>-2.0289366761438058E-2</v>
      </c>
      <c r="R99" s="120">
        <f t="shared" si="67"/>
        <v>2.0289366761438058E-2</v>
      </c>
      <c r="S99" s="121">
        <f t="shared" si="68"/>
        <v>911677114593.42322</v>
      </c>
      <c r="T99" s="121">
        <f t="shared" si="70"/>
        <v>-4026954.4957106933</v>
      </c>
      <c r="U99" s="121">
        <f t="shared" si="71"/>
        <v>16216362510524.564</v>
      </c>
      <c r="V99"/>
    </row>
    <row r="100" spans="1:22" x14ac:dyDescent="0.2">
      <c r="A100" s="43">
        <v>45351</v>
      </c>
      <c r="B100" s="44">
        <v>41879542.609999999</v>
      </c>
      <c r="C100" s="44"/>
      <c r="D100" s="44">
        <f t="shared" si="64"/>
        <v>41879542.609999999</v>
      </c>
      <c r="E100" s="44"/>
      <c r="F100" s="44"/>
      <c r="G100" s="139">
        <f t="shared" si="57"/>
        <v>41879542.609999999</v>
      </c>
      <c r="H100" s="44">
        <f t="shared" ref="H100:I100" si="102">H88</f>
        <v>420.35999999999996</v>
      </c>
      <c r="I100" s="44">
        <f t="shared" si="102"/>
        <v>0</v>
      </c>
      <c r="J100" s="44">
        <v>29</v>
      </c>
      <c r="K100" s="142">
        <v>0</v>
      </c>
      <c r="L100" s="44">
        <v>30733.242003550138</v>
      </c>
      <c r="M100" s="44">
        <v>0</v>
      </c>
      <c r="N100" s="44">
        <v>30129780</v>
      </c>
      <c r="O100" s="44">
        <f t="shared" si="66"/>
        <v>43302008.170783736</v>
      </c>
      <c r="P100" s="29">
        <f t="shared" si="62"/>
        <v>1422465.5607837364</v>
      </c>
      <c r="Q100" s="37">
        <f t="shared" si="63"/>
        <v>3.396564222370662E-2</v>
      </c>
      <c r="R100" s="120">
        <f t="shared" si="67"/>
        <v>3.396564222370662E-2</v>
      </c>
      <c r="S100" s="121">
        <f t="shared" si="68"/>
        <v>2023408271615.7898</v>
      </c>
      <c r="T100" s="121">
        <f t="shared" si="70"/>
        <v>2377283.4044551998</v>
      </c>
      <c r="U100" s="121">
        <f t="shared" si="71"/>
        <v>5651476385098.1055</v>
      </c>
      <c r="V100"/>
    </row>
    <row r="101" spans="1:22" x14ac:dyDescent="0.2">
      <c r="A101" s="43">
        <v>45382</v>
      </c>
      <c r="B101" s="44">
        <v>41149574.190000005</v>
      </c>
      <c r="C101" s="44"/>
      <c r="D101" s="44">
        <f t="shared" si="64"/>
        <v>41149574.190000005</v>
      </c>
      <c r="E101" s="44"/>
      <c r="F101" s="44"/>
      <c r="G101" s="139">
        <f t="shared" si="57"/>
        <v>41149574.190000005</v>
      </c>
      <c r="H101" s="44">
        <f t="shared" ref="H101:I101" si="103">H89</f>
        <v>361.91</v>
      </c>
      <c r="I101" s="44">
        <f t="shared" si="103"/>
        <v>0</v>
      </c>
      <c r="J101" s="44">
        <v>31</v>
      </c>
      <c r="K101" s="142">
        <v>1</v>
      </c>
      <c r="L101" s="44">
        <v>30751.375183087184</v>
      </c>
      <c r="M101" s="44">
        <v>0</v>
      </c>
      <c r="N101" s="44">
        <v>31413629</v>
      </c>
      <c r="O101" s="44">
        <f t="shared" si="66"/>
        <v>41784164.120249413</v>
      </c>
      <c r="P101" s="29">
        <f t="shared" si="62"/>
        <v>634589.93024940789</v>
      </c>
      <c r="Q101" s="37">
        <f t="shared" si="63"/>
        <v>1.5421543059457058E-2</v>
      </c>
      <c r="R101" s="120">
        <f t="shared" si="67"/>
        <v>1.5421543059457058E-2</v>
      </c>
      <c r="S101" s="121">
        <f t="shared" si="68"/>
        <v>402704379573.94836</v>
      </c>
      <c r="T101" s="121">
        <f t="shared" si="70"/>
        <v>-787875.63053432852</v>
      </c>
      <c r="U101" s="121">
        <f t="shared" si="71"/>
        <v>620748009189.86572</v>
      </c>
      <c r="V101"/>
    </row>
    <row r="102" spans="1:22" x14ac:dyDescent="0.2">
      <c r="A102" s="43">
        <v>45412</v>
      </c>
      <c r="B102" s="44">
        <v>37508717.170000002</v>
      </c>
      <c r="C102" s="44"/>
      <c r="D102" s="44">
        <f t="shared" si="64"/>
        <v>37508717.170000002</v>
      </c>
      <c r="E102" s="44"/>
      <c r="F102" s="44"/>
      <c r="G102" s="139">
        <f t="shared" si="57"/>
        <v>37508717.170000002</v>
      </c>
      <c r="H102" s="44">
        <f t="shared" ref="H102:I102" si="104">H90</f>
        <v>249.59</v>
      </c>
      <c r="I102" s="44">
        <f t="shared" si="104"/>
        <v>0.2</v>
      </c>
      <c r="J102" s="44">
        <v>30</v>
      </c>
      <c r="K102" s="142">
        <v>1</v>
      </c>
      <c r="L102" s="44">
        <v>30769.519818224573</v>
      </c>
      <c r="M102" s="44">
        <v>0</v>
      </c>
      <c r="N102" s="44">
        <v>31886888</v>
      </c>
      <c r="O102" s="44">
        <f t="shared" si="66"/>
        <v>39445783.36453487</v>
      </c>
      <c r="P102" s="29">
        <f t="shared" si="62"/>
        <v>1937066.194534868</v>
      </c>
      <c r="Q102" s="37">
        <f t="shared" si="63"/>
        <v>5.1643093677545465E-2</v>
      </c>
      <c r="R102" s="120">
        <f t="shared" si="67"/>
        <v>5.1643093677545465E-2</v>
      </c>
      <c r="S102" s="121">
        <f t="shared" si="68"/>
        <v>3752225442009.7949</v>
      </c>
      <c r="T102" s="121">
        <f t="shared" si="70"/>
        <v>1302476.2642854601</v>
      </c>
      <c r="U102" s="121">
        <f t="shared" si="71"/>
        <v>1696444419027.0078</v>
      </c>
      <c r="V102"/>
    </row>
    <row r="103" spans="1:22" x14ac:dyDescent="0.2">
      <c r="A103" s="43">
        <v>45443</v>
      </c>
      <c r="B103" s="44">
        <v>37754162.369999997</v>
      </c>
      <c r="C103" s="44"/>
      <c r="D103" s="44">
        <f t="shared" si="64"/>
        <v>37754162.369999997</v>
      </c>
      <c r="E103" s="44"/>
      <c r="F103" s="44"/>
      <c r="G103" s="139">
        <f t="shared" si="57"/>
        <v>37754162.369999997</v>
      </c>
      <c r="H103" s="44">
        <f t="shared" ref="H103:I103" si="105">H91</f>
        <v>107.23999999999998</v>
      </c>
      <c r="I103" s="44">
        <f t="shared" si="105"/>
        <v>12.239999999999998</v>
      </c>
      <c r="J103" s="44">
        <v>31</v>
      </c>
      <c r="K103" s="142">
        <v>1</v>
      </c>
      <c r="L103" s="44">
        <v>30787.675917335699</v>
      </c>
      <c r="M103" s="44">
        <v>0</v>
      </c>
      <c r="N103" s="44">
        <v>33307837</v>
      </c>
      <c r="O103" s="44">
        <f t="shared" si="66"/>
        <v>39437226.061335713</v>
      </c>
      <c r="P103" s="29">
        <f t="shared" si="62"/>
        <v>1683063.6913357154</v>
      </c>
      <c r="Q103" s="37">
        <f t="shared" si="63"/>
        <v>4.4579553238164329E-2</v>
      </c>
      <c r="R103" s="120">
        <f t="shared" si="67"/>
        <v>4.4579553238164329E-2</v>
      </c>
      <c r="S103" s="121">
        <f t="shared" si="68"/>
        <v>2832703389092.604</v>
      </c>
      <c r="T103" s="121">
        <f t="shared" si="70"/>
        <v>-254002.50319915265</v>
      </c>
      <c r="U103" s="121">
        <f t="shared" si="71"/>
        <v>64517271631.435555</v>
      </c>
      <c r="V103"/>
    </row>
    <row r="104" spans="1:22" x14ac:dyDescent="0.2">
      <c r="A104" s="43">
        <v>45473</v>
      </c>
      <c r="B104" s="44">
        <v>43680638.38000001</v>
      </c>
      <c r="C104" s="44"/>
      <c r="D104" s="44">
        <f t="shared" si="64"/>
        <v>43680638.38000001</v>
      </c>
      <c r="E104" s="44"/>
      <c r="F104" s="44"/>
      <c r="G104" s="139">
        <f t="shared" si="57"/>
        <v>43680638.38000001</v>
      </c>
      <c r="H104" s="44">
        <f t="shared" ref="H104:I104" si="106">H92</f>
        <v>16.089999999999996</v>
      </c>
      <c r="I104" s="44">
        <f t="shared" si="106"/>
        <v>52.410000000000004</v>
      </c>
      <c r="J104" s="139">
        <v>30</v>
      </c>
      <c r="K104" s="142">
        <v>0</v>
      </c>
      <c r="L104" s="44">
        <v>30805.843488802253</v>
      </c>
      <c r="M104" s="44">
        <v>0</v>
      </c>
      <c r="N104" s="44">
        <v>31143333</v>
      </c>
      <c r="O104" s="44">
        <f t="shared" si="66"/>
        <v>42176631.088302396</v>
      </c>
      <c r="P104" s="29">
        <f t="shared" si="62"/>
        <v>-1504007.2916976139</v>
      </c>
      <c r="Q104" s="37">
        <f t="shared" si="63"/>
        <v>-3.4431898147034672E-2</v>
      </c>
      <c r="R104" s="120">
        <f t="shared" si="67"/>
        <v>3.4431898147034672E-2</v>
      </c>
      <c r="S104" s="121">
        <f t="shared" si="68"/>
        <v>2262037933479.5913</v>
      </c>
      <c r="T104" s="121">
        <f t="shared" si="70"/>
        <v>-3187070.9830333292</v>
      </c>
      <c r="U104" s="121">
        <f t="shared" si="71"/>
        <v>10157421450893.031</v>
      </c>
      <c r="V104"/>
    </row>
    <row r="105" spans="1:22" x14ac:dyDescent="0.2">
      <c r="A105" s="43">
        <v>45504</v>
      </c>
      <c r="B105" s="44">
        <v>52412313.329999998</v>
      </c>
      <c r="C105" s="44"/>
      <c r="D105" s="44">
        <f t="shared" si="64"/>
        <v>52412313.329999998</v>
      </c>
      <c r="E105" s="44"/>
      <c r="F105" s="44"/>
      <c r="G105" s="139">
        <f t="shared" si="57"/>
        <v>52412313.329999998</v>
      </c>
      <c r="H105" s="44">
        <f t="shared" ref="H105:I105" si="107">H93</f>
        <v>0.65</v>
      </c>
      <c r="I105" s="44">
        <f t="shared" si="107"/>
        <v>112.46</v>
      </c>
      <c r="J105" s="44">
        <v>31</v>
      </c>
      <c r="K105" s="142">
        <v>0</v>
      </c>
      <c r="L105" s="44">
        <v>30824.022541014227</v>
      </c>
      <c r="M105" s="44">
        <v>1</v>
      </c>
      <c r="N105" s="44">
        <v>29943389</v>
      </c>
      <c r="O105" s="44">
        <f t="shared" si="66"/>
        <v>49775427.40318691</v>
      </c>
      <c r="P105" s="29">
        <f t="shared" si="62"/>
        <v>-2636885.9268130884</v>
      </c>
      <c r="Q105" s="37">
        <f t="shared" si="63"/>
        <v>-5.0310428204354329E-2</v>
      </c>
      <c r="R105" s="120">
        <f t="shared" si="67"/>
        <v>5.0310428204354329E-2</v>
      </c>
      <c r="S105" s="121">
        <f t="shared" si="68"/>
        <v>6953167391024.9199</v>
      </c>
      <c r="T105" s="121">
        <f t="shared" si="70"/>
        <v>-1132878.6351154745</v>
      </c>
      <c r="U105" s="121">
        <f t="shared" si="71"/>
        <v>1283414001901.1003</v>
      </c>
      <c r="V105"/>
    </row>
    <row r="106" spans="1:22" x14ac:dyDescent="0.2">
      <c r="A106" s="43">
        <v>45535</v>
      </c>
      <c r="B106" s="44">
        <v>48798061.969999999</v>
      </c>
      <c r="C106" s="44"/>
      <c r="D106" s="44">
        <f t="shared" si="64"/>
        <v>48798061.969999999</v>
      </c>
      <c r="E106" s="44"/>
      <c r="F106" s="44"/>
      <c r="G106" s="139">
        <f t="shared" si="57"/>
        <v>48798061.969999999</v>
      </c>
      <c r="H106" s="44">
        <f t="shared" ref="H106:I106" si="108">H94</f>
        <v>3.2599999999999993</v>
      </c>
      <c r="I106" s="44">
        <f t="shared" si="108"/>
        <v>112.46</v>
      </c>
      <c r="J106" s="44">
        <v>31</v>
      </c>
      <c r="K106" s="142">
        <v>0</v>
      </c>
      <c r="L106" s="44">
        <v>30842.213082369944</v>
      </c>
      <c r="M106" s="44">
        <v>1</v>
      </c>
      <c r="N106" s="44">
        <v>31000142</v>
      </c>
      <c r="O106" s="44">
        <f t="shared" si="66"/>
        <v>50052582.957423627</v>
      </c>
      <c r="P106" s="29">
        <f t="shared" si="62"/>
        <v>1254520.9874236286</v>
      </c>
      <c r="Q106" s="37">
        <f t="shared" si="63"/>
        <v>2.5708418260439958E-2</v>
      </c>
      <c r="R106" s="120">
        <f t="shared" si="67"/>
        <v>2.5708418260439958E-2</v>
      </c>
      <c r="S106" s="121">
        <f t="shared" si="68"/>
        <v>1573822907886.356</v>
      </c>
      <c r="T106" s="121">
        <f t="shared" si="70"/>
        <v>3891406.9142367169</v>
      </c>
      <c r="U106" s="121">
        <f t="shared" si="71"/>
        <v>15143047772169.328</v>
      </c>
      <c r="V106"/>
    </row>
    <row r="107" spans="1:22" x14ac:dyDescent="0.2">
      <c r="A107" s="43">
        <v>45565</v>
      </c>
      <c r="B107" s="44">
        <v>41452209.120000005</v>
      </c>
      <c r="C107" s="44"/>
      <c r="D107" s="44">
        <f t="shared" si="64"/>
        <v>41452209.120000005</v>
      </c>
      <c r="E107" s="44"/>
      <c r="F107" s="44"/>
      <c r="G107" s="139">
        <f t="shared" si="57"/>
        <v>41452209.120000005</v>
      </c>
      <c r="H107" s="44">
        <f t="shared" ref="H107:I107" si="109">H95</f>
        <v>28.679999999999996</v>
      </c>
      <c r="I107" s="44">
        <f t="shared" si="109"/>
        <v>44.01</v>
      </c>
      <c r="J107" s="44">
        <v>30</v>
      </c>
      <c r="K107" s="142">
        <v>1</v>
      </c>
      <c r="L107" s="44">
        <v>30860.415121276044</v>
      </c>
      <c r="M107" s="44">
        <v>0</v>
      </c>
      <c r="N107" s="44">
        <v>30980059</v>
      </c>
      <c r="O107" s="44">
        <f t="shared" si="66"/>
        <v>39045431.861079931</v>
      </c>
      <c r="P107" s="29">
        <f t="shared" si="62"/>
        <v>-2406777.2589200735</v>
      </c>
      <c r="Q107" s="37">
        <f t="shared" si="63"/>
        <v>-5.8061495635918794E-2</v>
      </c>
      <c r="R107" s="120">
        <f t="shared" si="67"/>
        <v>5.8061495635918794E-2</v>
      </c>
      <c r="S107" s="121">
        <f t="shared" si="68"/>
        <v>5792576774054.8223</v>
      </c>
      <c r="T107" s="121">
        <f t="shared" si="70"/>
        <v>-3661298.2463437021</v>
      </c>
      <c r="U107" s="121">
        <f t="shared" si="71"/>
        <v>13405104848679.469</v>
      </c>
      <c r="V107"/>
    </row>
    <row r="108" spans="1:22" x14ac:dyDescent="0.2">
      <c r="A108" s="43">
        <v>45596</v>
      </c>
      <c r="B108" s="44">
        <v>37912739.270000003</v>
      </c>
      <c r="C108" s="44"/>
      <c r="D108" s="44">
        <f t="shared" si="64"/>
        <v>37912739.270000003</v>
      </c>
      <c r="E108" s="44"/>
      <c r="F108" s="44"/>
      <c r="G108" s="139">
        <f t="shared" si="57"/>
        <v>37912739.270000003</v>
      </c>
      <c r="H108" s="44">
        <f t="shared" ref="H108:I108" si="110">H96</f>
        <v>141.75</v>
      </c>
      <c r="I108" s="44">
        <f t="shared" si="110"/>
        <v>6.5299999999999994</v>
      </c>
      <c r="J108" s="44">
        <v>31</v>
      </c>
      <c r="K108" s="142">
        <v>1</v>
      </c>
      <c r="L108" s="44">
        <v>30878.62866614751</v>
      </c>
      <c r="M108" s="44">
        <v>0</v>
      </c>
      <c r="N108" s="44">
        <v>31977835</v>
      </c>
      <c r="O108" s="44">
        <f t="shared" si="66"/>
        <v>39335419.597724959</v>
      </c>
      <c r="P108" s="29">
        <f t="shared" si="62"/>
        <v>1422680.327724956</v>
      </c>
      <c r="Q108" s="37">
        <f t="shared" si="63"/>
        <v>3.7525126253557459E-2</v>
      </c>
      <c r="R108" s="120">
        <f t="shared" si="67"/>
        <v>3.7525126253557459E-2</v>
      </c>
      <c r="S108" s="121">
        <f t="shared" si="68"/>
        <v>2024019314895.5881</v>
      </c>
      <c r="T108" s="121">
        <f t="shared" si="70"/>
        <v>3829457.5866450295</v>
      </c>
      <c r="U108" s="121">
        <f t="shared" si="71"/>
        <v>14664745407913.174</v>
      </c>
      <c r="V108"/>
    </row>
    <row r="109" spans="1:22" x14ac:dyDescent="0.2">
      <c r="A109" s="43">
        <v>45626</v>
      </c>
      <c r="B109" s="44">
        <v>38806066.369999997</v>
      </c>
      <c r="C109" s="44"/>
      <c r="D109" s="44">
        <f t="shared" si="64"/>
        <v>38806066.369999997</v>
      </c>
      <c r="E109" s="44"/>
      <c r="F109" s="44"/>
      <c r="G109" s="139">
        <f t="shared" si="57"/>
        <v>38806066.369999997</v>
      </c>
      <c r="H109" s="44">
        <f t="shared" ref="H109:I109" si="111">H97</f>
        <v>304.77999999999992</v>
      </c>
      <c r="I109" s="44">
        <f t="shared" si="111"/>
        <v>0.1</v>
      </c>
      <c r="J109" s="44">
        <v>30</v>
      </c>
      <c r="K109" s="142">
        <v>1</v>
      </c>
      <c r="L109" s="44">
        <v>30896.853725407691</v>
      </c>
      <c r="M109" s="44">
        <v>0</v>
      </c>
      <c r="N109" s="44">
        <v>31486058</v>
      </c>
      <c r="O109" s="44">
        <f t="shared" si="66"/>
        <v>40222085.116667338</v>
      </c>
      <c r="P109" s="29">
        <f t="shared" si="62"/>
        <v>1416018.7466673404</v>
      </c>
      <c r="Q109" s="37">
        <f t="shared" si="63"/>
        <v>3.6489623379143347E-2</v>
      </c>
      <c r="R109" s="120">
        <f t="shared" si="67"/>
        <v>3.6489623379143347E-2</v>
      </c>
      <c r="S109" s="121">
        <f>P109*P109</f>
        <v>2005109090913.3455</v>
      </c>
      <c r="T109" s="121">
        <f t="shared" si="70"/>
        <v>-6661.5810576155782</v>
      </c>
      <c r="U109" s="121">
        <f t="shared" si="71"/>
        <v>44376662.187182687</v>
      </c>
      <c r="V109"/>
    </row>
    <row r="110" spans="1:22" x14ac:dyDescent="0.2">
      <c r="A110" s="43">
        <v>45657</v>
      </c>
      <c r="B110" s="44">
        <v>45581658.079999998</v>
      </c>
      <c r="C110" s="44"/>
      <c r="D110" s="44">
        <f t="shared" si="64"/>
        <v>45581658.079999998</v>
      </c>
      <c r="E110" s="44"/>
      <c r="F110" s="44"/>
      <c r="G110" s="139">
        <f t="shared" si="57"/>
        <v>45581658.079999998</v>
      </c>
      <c r="H110" s="44">
        <f t="shared" ref="H110:I110" si="112">H98</f>
        <v>460.06000000000006</v>
      </c>
      <c r="I110" s="44">
        <f t="shared" si="112"/>
        <v>0</v>
      </c>
      <c r="J110" s="44">
        <v>31</v>
      </c>
      <c r="K110" s="142">
        <v>0</v>
      </c>
      <c r="L110" s="44">
        <v>30915.090307488292</v>
      </c>
      <c r="M110" s="44">
        <v>0</v>
      </c>
      <c r="N110" s="44">
        <v>28118731</v>
      </c>
      <c r="O110" s="44">
        <f t="shared" si="66"/>
        <v>45346896.711964428</v>
      </c>
      <c r="P110" s="29">
        <f t="shared" si="62"/>
        <v>-234761.36803556979</v>
      </c>
      <c r="Q110" s="37">
        <f>P110/G110</f>
        <v>-5.1503472651991296E-3</v>
      </c>
      <c r="R110" s="120">
        <f t="shared" si="67"/>
        <v>5.1503472651991296E-3</v>
      </c>
      <c r="S110" s="121">
        <f>P110*P110</f>
        <v>55112899921.932251</v>
      </c>
      <c r="T110" s="121">
        <f>P110-P109</f>
        <v>-1650780.1147029102</v>
      </c>
      <c r="U110" s="121">
        <f>T110*T110</f>
        <v>2725074987098.5532</v>
      </c>
      <c r="V110"/>
    </row>
    <row r="111" spans="1:22" x14ac:dyDescent="0.2">
      <c r="A111" s="43">
        <v>45688</v>
      </c>
      <c r="B111" s="139">
        <v>49861734.450000003</v>
      </c>
      <c r="C111" s="44"/>
      <c r="D111" s="44">
        <f t="shared" si="64"/>
        <v>49861734.450000003</v>
      </c>
      <c r="E111" s="44"/>
      <c r="F111" s="44"/>
      <c r="G111" s="139">
        <f t="shared" si="57"/>
        <v>49861734.450000003</v>
      </c>
      <c r="H111" s="44">
        <f t="shared" ref="H111:I111" si="113">H99</f>
        <v>492.16999999999996</v>
      </c>
      <c r="I111" s="44">
        <f t="shared" si="113"/>
        <v>0</v>
      </c>
      <c r="J111" s="87">
        <v>31</v>
      </c>
      <c r="K111" s="142">
        <v>0</v>
      </c>
      <c r="L111" s="139">
        <v>30932.420798959836</v>
      </c>
      <c r="M111" s="139">
        <f>M99</f>
        <v>0</v>
      </c>
      <c r="N111" s="44">
        <f>N99*(1+N$149)</f>
        <v>29645415.52</v>
      </c>
      <c r="O111" s="44">
        <f t="shared" si="66"/>
        <v>46137824.415136203</v>
      </c>
      <c r="P111" s="29">
        <f t="shared" si="62"/>
        <v>-3723910.0348637998</v>
      </c>
      <c r="Q111" s="37">
        <f t="shared" ref="Q111:Q121" si="114">P111/G111</f>
        <v>-7.46847271949201E-2</v>
      </c>
      <c r="R111" s="120">
        <f>ABS(Q111)</f>
        <v>7.46847271949201E-2</v>
      </c>
      <c r="S111" s="121">
        <f t="shared" ref="S111:S121" si="115">P111*P111</f>
        <v>13867505947759.307</v>
      </c>
      <c r="T111" s="121">
        <f t="shared" ref="T111:T121" si="116">P111-P110</f>
        <v>-3489148.66682823</v>
      </c>
      <c r="U111" s="121">
        <f t="shared" ref="U111:U121" si="117">T111*T111</f>
        <v>12174158419229.215</v>
      </c>
      <c r="V111"/>
    </row>
    <row r="112" spans="1:22" x14ac:dyDescent="0.2">
      <c r="A112" s="43">
        <v>45716</v>
      </c>
      <c r="B112" s="139">
        <v>44457972.25</v>
      </c>
      <c r="C112" s="44"/>
      <c r="D112" s="44">
        <f t="shared" si="64"/>
        <v>44457972.25</v>
      </c>
      <c r="E112" s="44"/>
      <c r="F112" s="44"/>
      <c r="G112" s="139">
        <f t="shared" si="57"/>
        <v>44457972.25</v>
      </c>
      <c r="H112" s="44">
        <f t="shared" ref="H112:I112" si="118">H100</f>
        <v>420.35999999999996</v>
      </c>
      <c r="I112" s="44">
        <f t="shared" si="118"/>
        <v>0</v>
      </c>
      <c r="J112" s="87">
        <v>28</v>
      </c>
      <c r="K112" s="142">
        <v>0</v>
      </c>
      <c r="L112" s="139">
        <v>30949.762250952175</v>
      </c>
      <c r="M112" s="139">
        <f t="shared" ref="M112:M146" si="119">M100</f>
        <v>0</v>
      </c>
      <c r="N112" s="44">
        <f t="shared" ref="N112:N121" si="120">N100*(1+N$149)</f>
        <v>29527184.399999999</v>
      </c>
      <c r="O112" s="44">
        <f t="shared" si="66"/>
        <v>42442418.63184575</v>
      </c>
      <c r="P112" s="29">
        <f t="shared" si="62"/>
        <v>-2015553.6181542501</v>
      </c>
      <c r="Q112" s="37">
        <f t="shared" si="114"/>
        <v>-4.5336157187291649E-2</v>
      </c>
      <c r="R112" s="120">
        <f t="shared" si="67"/>
        <v>4.5336157187291649E-2</v>
      </c>
      <c r="S112" s="121">
        <f t="shared" si="115"/>
        <v>4062456387654.6885</v>
      </c>
      <c r="T112" s="121">
        <f t="shared" si="116"/>
        <v>1708356.4167095497</v>
      </c>
      <c r="U112" s="121">
        <f t="shared" si="117"/>
        <v>2918481646512.6929</v>
      </c>
      <c r="V112"/>
    </row>
    <row r="113" spans="1:22" x14ac:dyDescent="0.2">
      <c r="A113" s="43">
        <v>45747</v>
      </c>
      <c r="B113" s="139">
        <v>43417367.900000006</v>
      </c>
      <c r="C113" s="44"/>
      <c r="D113" s="44">
        <f t="shared" si="64"/>
        <v>43417367.900000006</v>
      </c>
      <c r="E113" s="44"/>
      <c r="F113" s="44"/>
      <c r="G113" s="139">
        <f t="shared" si="57"/>
        <v>43417367.900000006</v>
      </c>
      <c r="H113" s="44">
        <f t="shared" ref="H113:I113" si="121">H101</f>
        <v>361.91</v>
      </c>
      <c r="I113" s="44">
        <f t="shared" si="121"/>
        <v>0</v>
      </c>
      <c r="J113" s="87">
        <v>31</v>
      </c>
      <c r="K113" s="142">
        <v>1</v>
      </c>
      <c r="L113" s="139">
        <v>30967.114668180362</v>
      </c>
      <c r="M113" s="139">
        <f t="shared" si="119"/>
        <v>0</v>
      </c>
      <c r="N113" s="44">
        <f t="shared" si="120"/>
        <v>30785356.419999998</v>
      </c>
      <c r="O113" s="44">
        <f t="shared" si="66"/>
        <v>41810629.951684617</v>
      </c>
      <c r="P113" s="29">
        <f t="shared" si="62"/>
        <v>-1606737.9483153895</v>
      </c>
      <c r="Q113" s="37">
        <f t="shared" si="114"/>
        <v>-3.7006802255172846E-2</v>
      </c>
      <c r="R113" s="120">
        <f t="shared" si="67"/>
        <v>3.7006802255172846E-2</v>
      </c>
      <c r="S113" s="121">
        <f t="shared" si="115"/>
        <v>2581606834556.7471</v>
      </c>
      <c r="T113" s="121">
        <f t="shared" si="116"/>
        <v>408815.66983886063</v>
      </c>
      <c r="U113" s="121">
        <f t="shared" si="117"/>
        <v>167130251905.7963</v>
      </c>
      <c r="V113"/>
    </row>
    <row r="114" spans="1:22" x14ac:dyDescent="0.2">
      <c r="A114" s="43">
        <v>45777</v>
      </c>
      <c r="B114" s="139">
        <v>38426118.68</v>
      </c>
      <c r="C114" s="44"/>
      <c r="D114" s="44">
        <f t="shared" si="64"/>
        <v>38426118.68</v>
      </c>
      <c r="E114" s="44"/>
      <c r="F114" s="44"/>
      <c r="G114" s="139">
        <f t="shared" si="57"/>
        <v>38426118.68</v>
      </c>
      <c r="H114" s="44">
        <f t="shared" ref="H114:I114" si="122">H102</f>
        <v>249.59</v>
      </c>
      <c r="I114" s="44">
        <f t="shared" si="122"/>
        <v>0.2</v>
      </c>
      <c r="J114" s="87">
        <v>30</v>
      </c>
      <c r="K114" s="142">
        <v>1</v>
      </c>
      <c r="L114" s="139">
        <v>30984.478055365253</v>
      </c>
      <c r="M114" s="139">
        <f t="shared" si="119"/>
        <v>0</v>
      </c>
      <c r="N114" s="44">
        <f t="shared" si="120"/>
        <v>31249150.239999998</v>
      </c>
      <c r="O114" s="44">
        <f t="shared" si="66"/>
        <v>39469631.83689528</v>
      </c>
      <c r="P114" s="29">
        <f t="shared" si="62"/>
        <v>1043513.1568952799</v>
      </c>
      <c r="Q114" s="37">
        <f t="shared" si="114"/>
        <v>2.7156350751563335E-2</v>
      </c>
      <c r="R114" s="120">
        <f t="shared" si="67"/>
        <v>2.7156350751563335E-2</v>
      </c>
      <c r="S114" s="121">
        <f t="shared" si="115"/>
        <v>1088919708613.553</v>
      </c>
      <c r="T114" s="121">
        <f t="shared" si="116"/>
        <v>2650251.1052106693</v>
      </c>
      <c r="U114" s="121">
        <f t="shared" si="117"/>
        <v>7023830920670.374</v>
      </c>
      <c r="V114"/>
    </row>
    <row r="115" spans="1:22" x14ac:dyDescent="0.2">
      <c r="A115" s="43">
        <v>45808</v>
      </c>
      <c r="B115" s="44">
        <v>37464105.689999998</v>
      </c>
      <c r="C115" s="44"/>
      <c r="D115" s="44">
        <f t="shared" si="64"/>
        <v>37464105.689999998</v>
      </c>
      <c r="E115" s="44"/>
      <c r="F115" s="44"/>
      <c r="G115" s="44">
        <f t="shared" si="57"/>
        <v>37464105.689999998</v>
      </c>
      <c r="H115" s="44">
        <f t="shared" ref="H115:I115" si="123">H103</f>
        <v>107.23999999999998</v>
      </c>
      <c r="I115" s="44">
        <f t="shared" si="123"/>
        <v>12.239999999999998</v>
      </c>
      <c r="J115" s="87">
        <v>31</v>
      </c>
      <c r="K115" s="142">
        <v>1</v>
      </c>
      <c r="L115" s="139">
        <v>31001.852417233538</v>
      </c>
      <c r="M115" s="139">
        <f t="shared" si="119"/>
        <v>0</v>
      </c>
      <c r="N115" s="44">
        <f t="shared" si="120"/>
        <v>32641680.259999998</v>
      </c>
      <c r="O115" s="44">
        <f t="shared" si="66"/>
        <v>39454386.017226294</v>
      </c>
      <c r="P115" s="29">
        <f t="shared" si="62"/>
        <v>1990280.3272262961</v>
      </c>
      <c r="Q115" s="37">
        <f t="shared" si="114"/>
        <v>5.3124992324521073E-2</v>
      </c>
      <c r="R115" s="120">
        <f t="shared" si="67"/>
        <v>5.3124992324521073E-2</v>
      </c>
      <c r="S115" s="121">
        <f t="shared" si="115"/>
        <v>3961215780944.0122</v>
      </c>
      <c r="T115" s="121">
        <f t="shared" si="116"/>
        <v>946767.17033101618</v>
      </c>
      <c r="U115" s="121">
        <f t="shared" si="117"/>
        <v>896368074816.59937</v>
      </c>
      <c r="V115"/>
    </row>
    <row r="116" spans="1:22" x14ac:dyDescent="0.2">
      <c r="A116" s="43">
        <v>45838</v>
      </c>
      <c r="B116" s="44">
        <v>43100272.859999999</v>
      </c>
      <c r="C116" s="44"/>
      <c r="D116" s="44">
        <f t="shared" si="64"/>
        <v>43100272.859999999</v>
      </c>
      <c r="E116" s="44"/>
      <c r="F116" s="44"/>
      <c r="G116" s="44">
        <f t="shared" si="57"/>
        <v>43100272.859999999</v>
      </c>
      <c r="H116" s="44">
        <f t="shared" ref="H116:I116" si="124">H104</f>
        <v>16.089999999999996</v>
      </c>
      <c r="I116" s="44">
        <f t="shared" si="124"/>
        <v>52.410000000000004</v>
      </c>
      <c r="J116" s="140">
        <v>30</v>
      </c>
      <c r="K116" s="142">
        <v>0</v>
      </c>
      <c r="L116" s="139">
        <v>31019.23775851772</v>
      </c>
      <c r="M116" s="139">
        <f t="shared" si="119"/>
        <v>0</v>
      </c>
      <c r="N116" s="44">
        <f>N104*(1+N$149)</f>
        <v>30520466.34</v>
      </c>
      <c r="O116" s="44">
        <f t="shared" si="66"/>
        <v>42202503.430468634</v>
      </c>
      <c r="P116" s="29">
        <f t="shared" si="62"/>
        <v>-897769.42953136563</v>
      </c>
      <c r="Q116" s="37">
        <f t="shared" si="114"/>
        <v>-2.082978528807777E-2</v>
      </c>
      <c r="R116" s="120">
        <f t="shared" si="67"/>
        <v>2.082978528807777E-2</v>
      </c>
      <c r="S116" s="121">
        <f t="shared" si="115"/>
        <v>805989948601.07373</v>
      </c>
      <c r="T116" s="121">
        <f t="shared" si="116"/>
        <v>-2888049.7567576617</v>
      </c>
      <c r="U116" s="121">
        <f t="shared" si="117"/>
        <v>8340831397507.9893</v>
      </c>
      <c r="V116"/>
    </row>
    <row r="117" spans="1:22" x14ac:dyDescent="0.2">
      <c r="A117" s="43">
        <v>45869</v>
      </c>
      <c r="B117" s="44">
        <v>54807097.660000004</v>
      </c>
      <c r="C117" s="44"/>
      <c r="D117" s="44">
        <f t="shared" si="64"/>
        <v>54807097.660000004</v>
      </c>
      <c r="E117" s="44"/>
      <c r="F117" s="44"/>
      <c r="G117" s="44">
        <f t="shared" si="57"/>
        <v>54807097.660000004</v>
      </c>
      <c r="H117" s="44">
        <f t="shared" ref="H117:I117" si="125">H105</f>
        <v>0.65</v>
      </c>
      <c r="I117" s="44">
        <f t="shared" si="125"/>
        <v>112.46</v>
      </c>
      <c r="J117" s="87">
        <v>31</v>
      </c>
      <c r="K117" s="142">
        <v>0</v>
      </c>
      <c r="L117" s="139">
        <v>31036.634083956113</v>
      </c>
      <c r="M117" s="139">
        <f t="shared" si="119"/>
        <v>1</v>
      </c>
      <c r="N117" s="44">
        <f t="shared" si="120"/>
        <v>29344521.219999999</v>
      </c>
      <c r="O117" s="44">
        <f t="shared" si="66"/>
        <v>49805868.503883541</v>
      </c>
      <c r="P117" s="29">
        <f t="shared" si="62"/>
        <v>-5001229.1561164632</v>
      </c>
      <c r="Q117" s="37">
        <f t="shared" si="114"/>
        <v>-9.1251486935906886E-2</v>
      </c>
      <c r="R117" s="120">
        <f t="shared" si="67"/>
        <v>9.1251486935906886E-2</v>
      </c>
      <c r="S117" s="121">
        <f t="shared" si="115"/>
        <v>25012293071989.391</v>
      </c>
      <c r="T117" s="121">
        <f t="shared" si="116"/>
        <v>-4103459.7265850976</v>
      </c>
      <c r="U117" s="121">
        <f t="shared" si="117"/>
        <v>16838381727705.844</v>
      </c>
      <c r="V117"/>
    </row>
    <row r="118" spans="1:22" x14ac:dyDescent="0.2">
      <c r="A118" s="43">
        <v>45900</v>
      </c>
      <c r="B118" s="44">
        <v>48442483.889999963</v>
      </c>
      <c r="C118" s="44"/>
      <c r="D118" s="44">
        <f t="shared" si="64"/>
        <v>48442483.889999963</v>
      </c>
      <c r="E118" s="44"/>
      <c r="F118" s="44"/>
      <c r="G118" s="44">
        <f t="shared" si="57"/>
        <v>48442483.889999963</v>
      </c>
      <c r="H118" s="44">
        <f t="shared" ref="H118:I118" si="126">H106</f>
        <v>3.2599999999999993</v>
      </c>
      <c r="I118" s="44">
        <f t="shared" si="126"/>
        <v>112.46</v>
      </c>
      <c r="J118" s="87">
        <v>31</v>
      </c>
      <c r="K118" s="142">
        <v>0</v>
      </c>
      <c r="L118" s="139">
        <v>31054.041398292837</v>
      </c>
      <c r="M118" s="139">
        <f t="shared" si="119"/>
        <v>1</v>
      </c>
      <c r="N118" s="44">
        <f t="shared" si="120"/>
        <v>30380139.16</v>
      </c>
      <c r="O118" s="44">
        <f t="shared" si="66"/>
        <v>50077898.826762766</v>
      </c>
      <c r="P118" s="29">
        <f t="shared" si="62"/>
        <v>1635414.9367628023</v>
      </c>
      <c r="Q118" s="37">
        <f t="shared" si="114"/>
        <v>3.3759931478253589E-2</v>
      </c>
      <c r="R118" s="120">
        <f t="shared" si="67"/>
        <v>3.3759931478253589E-2</v>
      </c>
      <c r="S118" s="121">
        <f t="shared" si="115"/>
        <v>2674582015386.8809</v>
      </c>
      <c r="T118" s="121">
        <f t="shared" si="116"/>
        <v>6636644.0928792655</v>
      </c>
      <c r="U118" s="121">
        <f t="shared" si="117"/>
        <v>44045044815549.25</v>
      </c>
      <c r="V118"/>
    </row>
    <row r="119" spans="1:22" x14ac:dyDescent="0.2">
      <c r="A119" s="43">
        <v>45930</v>
      </c>
      <c r="B119" s="44">
        <v>39207170.690000005</v>
      </c>
      <c r="C119" s="44"/>
      <c r="D119" s="44">
        <f t="shared" si="64"/>
        <v>39207170.690000005</v>
      </c>
      <c r="E119" s="44"/>
      <c r="F119" s="44"/>
      <c r="G119" s="44">
        <f t="shared" si="57"/>
        <v>39207170.690000005</v>
      </c>
      <c r="H119" s="44">
        <f t="shared" ref="H119:I119" si="127">H107</f>
        <v>28.679999999999996</v>
      </c>
      <c r="I119" s="44">
        <f t="shared" si="127"/>
        <v>44.01</v>
      </c>
      <c r="J119" s="87">
        <v>30</v>
      </c>
      <c r="K119" s="142">
        <v>1</v>
      </c>
      <c r="L119" s="139">
        <v>31071.459706277827</v>
      </c>
      <c r="M119" s="139">
        <f t="shared" si="119"/>
        <v>0</v>
      </c>
      <c r="N119" s="44">
        <f t="shared" si="120"/>
        <v>30360457.82</v>
      </c>
      <c r="O119" s="44">
        <f t="shared" si="66"/>
        <v>39070247.658548817</v>
      </c>
      <c r="P119" s="29">
        <f t="shared" si="62"/>
        <v>-136923.03145118803</v>
      </c>
      <c r="Q119" s="37">
        <f t="shared" si="114"/>
        <v>-3.4922956449420861E-3</v>
      </c>
      <c r="R119" s="120">
        <f t="shared" si="67"/>
        <v>3.4922956449420861E-3</v>
      </c>
      <c r="S119" s="121">
        <f t="shared" si="115"/>
        <v>18747916541.783028</v>
      </c>
      <c r="T119" s="121">
        <f t="shared" si="116"/>
        <v>-1772337.9682139903</v>
      </c>
      <c r="U119" s="121">
        <f t="shared" si="117"/>
        <v>3141181873572.8955</v>
      </c>
      <c r="V119"/>
    </row>
    <row r="120" spans="1:22" x14ac:dyDescent="0.2">
      <c r="A120" s="43">
        <v>45961</v>
      </c>
      <c r="B120" s="44">
        <v>38537676.210000001</v>
      </c>
      <c r="C120" s="44"/>
      <c r="D120" s="44">
        <f t="shared" si="64"/>
        <v>38537676.210000001</v>
      </c>
      <c r="E120" s="44"/>
      <c r="F120" s="44"/>
      <c r="G120" s="44">
        <f t="shared" si="57"/>
        <v>38537676.210000001</v>
      </c>
      <c r="H120" s="44">
        <f t="shared" ref="H120:I120" si="128">H108</f>
        <v>141.75</v>
      </c>
      <c r="I120" s="44">
        <f t="shared" si="128"/>
        <v>6.5299999999999994</v>
      </c>
      <c r="J120" s="87">
        <v>31</v>
      </c>
      <c r="K120" s="142">
        <v>1</v>
      </c>
      <c r="L120" s="139">
        <v>31088.889012666823</v>
      </c>
      <c r="M120" s="139">
        <f t="shared" si="119"/>
        <v>0</v>
      </c>
      <c r="N120" s="44">
        <f t="shared" si="120"/>
        <v>31338278.300000001</v>
      </c>
      <c r="O120" s="44">
        <f t="shared" si="66"/>
        <v>39355362.742138468</v>
      </c>
      <c r="P120" s="29">
        <f t="shared" si="62"/>
        <v>817686.53213846684</v>
      </c>
      <c r="Q120" s="37">
        <f t="shared" si="114"/>
        <v>2.1217847378308927E-2</v>
      </c>
      <c r="R120" s="120">
        <f t="shared" si="67"/>
        <v>2.1217847378308927E-2</v>
      </c>
      <c r="S120" s="121">
        <f t="shared" si="115"/>
        <v>668611264840.63196</v>
      </c>
      <c r="T120" s="121">
        <f t="shared" si="116"/>
        <v>954609.56358965486</v>
      </c>
      <c r="U120" s="121">
        <f t="shared" si="117"/>
        <v>911279418896.8313</v>
      </c>
      <c r="V120"/>
    </row>
    <row r="121" spans="1:22" x14ac:dyDescent="0.2">
      <c r="A121" s="43">
        <v>45991</v>
      </c>
      <c r="B121" s="44">
        <v>41368175.939999998</v>
      </c>
      <c r="C121" s="44"/>
      <c r="D121" s="44">
        <f t="shared" si="64"/>
        <v>41368175.939999998</v>
      </c>
      <c r="E121" s="44"/>
      <c r="F121" s="44"/>
      <c r="G121" s="44">
        <f t="shared" si="57"/>
        <v>41368175.939999998</v>
      </c>
      <c r="H121" s="44">
        <f t="shared" ref="H121:I121" si="129">H109</f>
        <v>304.77999999999992</v>
      </c>
      <c r="I121" s="44">
        <f t="shared" si="129"/>
        <v>0.1</v>
      </c>
      <c r="J121" s="87">
        <v>30</v>
      </c>
      <c r="K121" s="142">
        <v>1</v>
      </c>
      <c r="L121" s="139">
        <v>31106.329322221369</v>
      </c>
      <c r="M121" s="139">
        <f t="shared" si="119"/>
        <v>0</v>
      </c>
      <c r="N121" s="44">
        <f t="shared" si="120"/>
        <v>30856336.84</v>
      </c>
      <c r="O121" s="44">
        <f t="shared" si="66"/>
        <v>40243553.583094083</v>
      </c>
      <c r="P121" s="29">
        <f t="shared" si="62"/>
        <v>-1124622.3569059148</v>
      </c>
      <c r="Q121" s="37">
        <f t="shared" si="114"/>
        <v>-2.7185688789785081E-2</v>
      </c>
      <c r="R121" s="120">
        <f t="shared" si="67"/>
        <v>2.7185688789785081E-2</v>
      </c>
      <c r="S121" s="121">
        <f t="shared" si="115"/>
        <v>1264775445652.615</v>
      </c>
      <c r="T121" s="121">
        <f t="shared" si="116"/>
        <v>-1942308.8890443817</v>
      </c>
      <c r="U121" s="121">
        <f t="shared" si="117"/>
        <v>3772563820460.8203</v>
      </c>
      <c r="V121"/>
    </row>
    <row r="122" spans="1:22" x14ac:dyDescent="0.2">
      <c r="A122" s="43">
        <v>46022</v>
      </c>
      <c r="B122" s="44">
        <v>48355956.890000001</v>
      </c>
      <c r="C122" s="44"/>
      <c r="D122" s="44">
        <f t="shared" si="64"/>
        <v>48355956.890000001</v>
      </c>
      <c r="E122" s="44"/>
      <c r="F122" s="44"/>
      <c r="G122" s="44">
        <f t="shared" si="57"/>
        <v>48355956.890000001</v>
      </c>
      <c r="H122" s="44">
        <f t="shared" ref="H122:I122" si="130">H110</f>
        <v>460.06000000000006</v>
      </c>
      <c r="I122" s="44">
        <f t="shared" si="130"/>
        <v>0</v>
      </c>
      <c r="J122" s="87">
        <v>31</v>
      </c>
      <c r="K122" s="142">
        <v>0</v>
      </c>
      <c r="L122" s="139">
        <v>31123.780639708813</v>
      </c>
      <c r="M122" s="139">
        <f t="shared" si="119"/>
        <v>0</v>
      </c>
      <c r="N122" s="44">
        <f>N110*(1+N$149)</f>
        <v>27556356.379999999</v>
      </c>
      <c r="O122" s="44">
        <f t="shared" si="66"/>
        <v>45382242.00667537</v>
      </c>
      <c r="P122" s="29">
        <f t="shared" si="62"/>
        <v>-2973714.8833246306</v>
      </c>
      <c r="Q122" s="37">
        <f>P122/G122</f>
        <v>-6.1496350699650697E-2</v>
      </c>
      <c r="R122" s="120">
        <f>ABS(Q122)</f>
        <v>6.1496350699650697E-2</v>
      </c>
      <c r="S122" s="121">
        <f>P122*P122</f>
        <v>8842980207306.4219</v>
      </c>
      <c r="T122" s="121">
        <f>P122-P121</f>
        <v>-1849092.5264187157</v>
      </c>
      <c r="U122" s="121">
        <f>T122*T122</f>
        <v>3419143171257.5488</v>
      </c>
      <c r="V122"/>
    </row>
    <row r="123" spans="1:22" x14ac:dyDescent="0.2">
      <c r="A123" s="43">
        <v>46053</v>
      </c>
      <c r="B123" s="44"/>
      <c r="C123" s="44"/>
      <c r="D123" s="44"/>
      <c r="E123" s="44"/>
      <c r="F123" s="44"/>
      <c r="G123" s="44"/>
      <c r="H123" s="44">
        <f t="shared" ref="H123:I123" si="131">H111</f>
        <v>492.16999999999996</v>
      </c>
      <c r="I123" s="44">
        <f t="shared" si="131"/>
        <v>0</v>
      </c>
      <c r="J123" s="87">
        <v>31</v>
      </c>
      <c r="K123" s="142">
        <v>0</v>
      </c>
      <c r="L123" s="139">
        <f>'Rate Class Customer Model'!P12</f>
        <v>31150.957952263096</v>
      </c>
      <c r="M123" s="139">
        <f t="shared" si="119"/>
        <v>0</v>
      </c>
      <c r="N123" s="44">
        <f>N111*(1+N$150)</f>
        <v>29052507.209599998</v>
      </c>
      <c r="O123" s="44">
        <f t="shared" si="66"/>
        <v>46173978.626270078</v>
      </c>
      <c r="P123" s="29">
        <f t="shared" si="62"/>
        <v>46173978.626270078</v>
      </c>
      <c r="Q123"/>
      <c r="R123" s="5">
        <f>AVERAGE(R3:R122)</f>
        <v>3.4886353089064091E-2</v>
      </c>
      <c r="S123" s="121">
        <f>SUM(S3:S122)</f>
        <v>425379043222253.69</v>
      </c>
      <c r="T123" s="121"/>
      <c r="U123" s="121">
        <f>SUM(U4:U122)</f>
        <v>802728280653233</v>
      </c>
      <c r="V123"/>
    </row>
    <row r="124" spans="1:22" ht="12.6" customHeight="1" x14ac:dyDescent="0.2">
      <c r="A124" s="43">
        <v>46081</v>
      </c>
      <c r="B124" s="44"/>
      <c r="C124" s="44"/>
      <c r="D124" s="44"/>
      <c r="E124" s="44"/>
      <c r="F124" s="44"/>
      <c r="G124" s="44"/>
      <c r="H124" s="44">
        <f t="shared" ref="H124:I124" si="132">H112</f>
        <v>420.35999999999996</v>
      </c>
      <c r="I124" s="44">
        <f t="shared" si="132"/>
        <v>0</v>
      </c>
      <c r="J124" s="44">
        <v>28</v>
      </c>
      <c r="K124" s="142">
        <v>0</v>
      </c>
      <c r="L124" s="139">
        <f>'Rate Class Customer Model'!P13</f>
        <v>31178.158996070539</v>
      </c>
      <c r="M124" s="139">
        <f t="shared" si="119"/>
        <v>0</v>
      </c>
      <c r="N124" s="44">
        <f t="shared" ref="N124:N133" si="133">N112*(1+N$150)</f>
        <v>28936640.711999997</v>
      </c>
      <c r="O124" s="44">
        <f t="shared" si="66"/>
        <v>42486457.029602177</v>
      </c>
      <c r="P124" s="29">
        <f t="shared" si="62"/>
        <v>42486457.029602177</v>
      </c>
      <c r="Q124"/>
      <c r="R124"/>
      <c r="S124" s="121"/>
      <c r="T124" s="121"/>
      <c r="U124" s="121"/>
      <c r="V124"/>
    </row>
    <row r="125" spans="1:22" x14ac:dyDescent="0.2">
      <c r="A125" s="43">
        <v>46112</v>
      </c>
      <c r="B125" s="44"/>
      <c r="C125" s="44"/>
      <c r="D125" s="44"/>
      <c r="E125" s="44"/>
      <c r="F125" s="44"/>
      <c r="G125" s="44"/>
      <c r="H125" s="44">
        <f t="shared" ref="H125:I125" si="134">H113</f>
        <v>361.91</v>
      </c>
      <c r="I125" s="44">
        <f t="shared" si="134"/>
        <v>0</v>
      </c>
      <c r="J125" s="87">
        <v>31</v>
      </c>
      <c r="K125" s="142">
        <v>1</v>
      </c>
      <c r="L125" s="139">
        <f>'Rate Class Customer Model'!P14</f>
        <v>31205.383791853295</v>
      </c>
      <c r="M125" s="139">
        <f t="shared" si="119"/>
        <v>0</v>
      </c>
      <c r="N125" s="44">
        <f t="shared" si="133"/>
        <v>30169649.291599996</v>
      </c>
      <c r="O125" s="44">
        <f t="shared" si="66"/>
        <v>41856649.778667457</v>
      </c>
      <c r="P125" s="29">
        <f t="shared" si="62"/>
        <v>41856649.778667457</v>
      </c>
      <c r="Q125"/>
      <c r="R125"/>
      <c r="S125" s="121"/>
      <c r="T125" s="121"/>
      <c r="U125" s="121"/>
      <c r="V125"/>
    </row>
    <row r="126" spans="1:22" x14ac:dyDescent="0.2">
      <c r="A126" s="43">
        <v>46142</v>
      </c>
      <c r="B126" s="44"/>
      <c r="C126" s="44"/>
      <c r="D126" s="44"/>
      <c r="E126" s="44"/>
      <c r="F126" s="44"/>
      <c r="G126" s="44"/>
      <c r="H126" s="44">
        <f t="shared" ref="H126:I126" si="135">H114</f>
        <v>249.59</v>
      </c>
      <c r="I126" s="44">
        <f t="shared" si="135"/>
        <v>0.2</v>
      </c>
      <c r="J126" s="87">
        <v>30</v>
      </c>
      <c r="K126" s="142">
        <v>1</v>
      </c>
      <c r="L126" s="139">
        <f>'Rate Class Customer Model'!P15</f>
        <v>31232.632360351607</v>
      </c>
      <c r="M126" s="139">
        <f t="shared" si="119"/>
        <v>0</v>
      </c>
      <c r="N126" s="44">
        <f t="shared" si="133"/>
        <v>30624167.235199999</v>
      </c>
      <c r="O126" s="44">
        <f t="shared" si="66"/>
        <v>39521054.91361364</v>
      </c>
      <c r="P126" s="29">
        <f t="shared" si="62"/>
        <v>39521054.91361364</v>
      </c>
      <c r="Q126"/>
      <c r="R126"/>
      <c r="S126" s="121"/>
      <c r="T126" s="121"/>
      <c r="U126" s="121"/>
      <c r="V126"/>
    </row>
    <row r="127" spans="1:22" x14ac:dyDescent="0.2">
      <c r="A127" s="43">
        <v>46173</v>
      </c>
      <c r="B127" s="44"/>
      <c r="C127" s="44"/>
      <c r="D127" s="44"/>
      <c r="E127" s="44"/>
      <c r="F127" s="44"/>
      <c r="G127" s="44"/>
      <c r="H127" s="44">
        <f t="shared" ref="H127:I127" si="136">H115</f>
        <v>107.23999999999998</v>
      </c>
      <c r="I127" s="44">
        <f t="shared" si="136"/>
        <v>12.239999999999998</v>
      </c>
      <c r="J127" s="87">
        <v>31</v>
      </c>
      <c r="K127" s="142">
        <v>1</v>
      </c>
      <c r="L127" s="139">
        <f>'Rate Class Customer Model'!P16</f>
        <v>31259.904722323834</v>
      </c>
      <c r="M127" s="139">
        <f t="shared" si="119"/>
        <v>0</v>
      </c>
      <c r="N127" s="44">
        <f t="shared" si="133"/>
        <v>31988846.654799998</v>
      </c>
      <c r="O127" s="44">
        <f t="shared" si="66"/>
        <v>39507232.558380686</v>
      </c>
      <c r="P127" s="29">
        <f t="shared" si="62"/>
        <v>39507232.558380686</v>
      </c>
      <c r="Q127"/>
      <c r="R127"/>
      <c r="S127" s="121"/>
      <c r="T127" s="121"/>
      <c r="U127" s="121"/>
      <c r="V127"/>
    </row>
    <row r="128" spans="1:22" x14ac:dyDescent="0.2">
      <c r="A128" s="43">
        <v>46203</v>
      </c>
      <c r="B128" s="44"/>
      <c r="C128" s="44"/>
      <c r="D128" s="44"/>
      <c r="E128" s="44"/>
      <c r="F128" s="44"/>
      <c r="G128" s="44"/>
      <c r="H128" s="44">
        <f t="shared" ref="H128:I128" si="137">H116</f>
        <v>16.089999999999996</v>
      </c>
      <c r="I128" s="44">
        <f t="shared" si="137"/>
        <v>52.410000000000004</v>
      </c>
      <c r="J128" s="140">
        <v>30</v>
      </c>
      <c r="K128" s="142">
        <v>0</v>
      </c>
      <c r="L128" s="139">
        <f>'Rate Class Customer Model'!P17</f>
        <v>31287.200898546456</v>
      </c>
      <c r="M128" s="139">
        <f t="shared" si="119"/>
        <v>0</v>
      </c>
      <c r="N128" s="44">
        <f t="shared" si="133"/>
        <v>29910057.0132</v>
      </c>
      <c r="O128" s="44">
        <f t="shared" si="66"/>
        <v>42271876.284375817</v>
      </c>
      <c r="P128" s="29">
        <f t="shared" si="62"/>
        <v>42271876.284375817</v>
      </c>
      <c r="Q128"/>
      <c r="R128"/>
      <c r="S128" s="121"/>
      <c r="T128" s="121"/>
      <c r="U128" s="121"/>
      <c r="V128"/>
    </row>
    <row r="129" spans="1:22" x14ac:dyDescent="0.2">
      <c r="A129" s="43">
        <v>46234</v>
      </c>
      <c r="B129" s="44"/>
      <c r="C129" s="44"/>
      <c r="D129" s="44"/>
      <c r="E129" s="44"/>
      <c r="F129" s="44"/>
      <c r="G129" s="44"/>
      <c r="H129" s="44">
        <f t="shared" ref="H129:I129" si="138">H117</f>
        <v>0.65</v>
      </c>
      <c r="I129" s="44">
        <f t="shared" si="138"/>
        <v>112.46</v>
      </c>
      <c r="J129" s="87">
        <v>31</v>
      </c>
      <c r="K129" s="142">
        <v>0</v>
      </c>
      <c r="L129" s="139">
        <f>'Rate Class Customer Model'!P18</f>
        <v>31314.520909814099</v>
      </c>
      <c r="M129" s="139">
        <f t="shared" si="119"/>
        <v>1</v>
      </c>
      <c r="N129" s="44">
        <f>N117*(1+N$150)</f>
        <v>28757630.795599997</v>
      </c>
      <c r="O129" s="44">
        <f t="shared" si="66"/>
        <v>49887716.893669017</v>
      </c>
      <c r="P129" s="29">
        <f t="shared" si="62"/>
        <v>49887716.893669017</v>
      </c>
      <c r="Q129"/>
      <c r="R129"/>
      <c r="S129" s="121"/>
      <c r="T129" s="121"/>
      <c r="U129" s="121"/>
      <c r="V129"/>
    </row>
    <row r="130" spans="1:22" x14ac:dyDescent="0.2">
      <c r="A130" s="43">
        <v>46265</v>
      </c>
      <c r="B130" s="44"/>
      <c r="C130" s="44"/>
      <c r="D130" s="44"/>
      <c r="E130" s="44"/>
      <c r="F130" s="44"/>
      <c r="G130" s="44"/>
      <c r="H130" s="44">
        <f t="shared" ref="H130:I130" si="139">H118</f>
        <v>3.2599999999999993</v>
      </c>
      <c r="I130" s="44">
        <f t="shared" si="139"/>
        <v>112.46</v>
      </c>
      <c r="J130" s="87">
        <v>31</v>
      </c>
      <c r="K130" s="142">
        <v>0</v>
      </c>
      <c r="L130" s="139">
        <f>'Rate Class Customer Model'!P19</f>
        <v>31341.864776939543</v>
      </c>
      <c r="M130" s="139">
        <f t="shared" si="119"/>
        <v>1</v>
      </c>
      <c r="N130" s="44">
        <f t="shared" si="133"/>
        <v>29772536.376800001</v>
      </c>
      <c r="O130" s="44">
        <f t="shared" si="66"/>
        <v>50162732.635352992</v>
      </c>
      <c r="P130" s="29">
        <f t="shared" si="62"/>
        <v>50162732.635352992</v>
      </c>
      <c r="Q130"/>
      <c r="R130"/>
      <c r="S130" s="121"/>
      <c r="T130" s="121"/>
      <c r="U130" s="121"/>
      <c r="V130"/>
    </row>
    <row r="131" spans="1:22" x14ac:dyDescent="0.2">
      <c r="A131" s="43">
        <v>46295</v>
      </c>
      <c r="B131" s="44"/>
      <c r="C131" s="44"/>
      <c r="D131" s="44"/>
      <c r="E131" s="44"/>
      <c r="F131" s="44"/>
      <c r="G131" s="44"/>
      <c r="H131" s="44">
        <f t="shared" ref="H131:I131" si="140">H119</f>
        <v>28.679999999999996</v>
      </c>
      <c r="I131" s="44">
        <f t="shared" si="140"/>
        <v>44.01</v>
      </c>
      <c r="J131" s="87">
        <v>30</v>
      </c>
      <c r="K131" s="142">
        <v>1</v>
      </c>
      <c r="L131" s="139">
        <f>'Rate Class Customer Model'!P20</f>
        <v>31369.232520753743</v>
      </c>
      <c r="M131" s="139">
        <f t="shared" si="119"/>
        <v>0</v>
      </c>
      <c r="N131" s="44">
        <f t="shared" si="133"/>
        <v>29753248.663600001</v>
      </c>
      <c r="O131" s="44">
        <f t="shared" si="66"/>
        <v>39162609.549969666</v>
      </c>
      <c r="P131" s="29">
        <f t="shared" ref="P131:P146" si="141">O131-G131</f>
        <v>39162609.549969666</v>
      </c>
      <c r="Q131"/>
      <c r="R131"/>
      <c r="S131" s="121"/>
      <c r="T131" s="121"/>
      <c r="U131" s="121"/>
      <c r="V131"/>
    </row>
    <row r="132" spans="1:22" x14ac:dyDescent="0.2">
      <c r="A132" s="43">
        <v>46326</v>
      </c>
      <c r="B132" s="44"/>
      <c r="C132" s="44"/>
      <c r="D132" s="44"/>
      <c r="E132" s="44"/>
      <c r="F132" s="44"/>
      <c r="G132" s="44"/>
      <c r="H132" s="44">
        <f t="shared" ref="H132:I132" si="142">H120</f>
        <v>141.75</v>
      </c>
      <c r="I132" s="44">
        <f t="shared" si="142"/>
        <v>6.5299999999999994</v>
      </c>
      <c r="J132" s="87">
        <v>31</v>
      </c>
      <c r="K132" s="142">
        <v>1</v>
      </c>
      <c r="L132" s="139">
        <f>'Rate Class Customer Model'!P21</f>
        <v>31396.624162105851</v>
      </c>
      <c r="M132" s="139">
        <f t="shared" si="119"/>
        <v>0</v>
      </c>
      <c r="N132" s="44">
        <f t="shared" si="133"/>
        <v>30711512.734000001</v>
      </c>
      <c r="O132" s="44">
        <f t="shared" ref="O132:O146" si="143">$X$30+$X$31*H132+$X$32*I132+$X$33*J132+$X$34*K132+$X$35*L132+M132*$X$36+N132*$X$37</f>
        <v>39450977.609279849</v>
      </c>
      <c r="P132" s="29">
        <f t="shared" si="141"/>
        <v>39450977.609279849</v>
      </c>
      <c r="Q132"/>
      <c r="R132"/>
      <c r="S132" s="121"/>
      <c r="T132" s="121"/>
      <c r="U132" s="121"/>
      <c r="V132"/>
    </row>
    <row r="133" spans="1:22" x14ac:dyDescent="0.2">
      <c r="A133" s="43">
        <v>46356</v>
      </c>
      <c r="B133" s="44"/>
      <c r="C133" s="44"/>
      <c r="D133" s="44"/>
      <c r="E133" s="44"/>
      <c r="F133" s="44"/>
      <c r="G133" s="44"/>
      <c r="H133" s="44">
        <f t="shared" ref="H133:I133" si="144">H121</f>
        <v>304.77999999999992</v>
      </c>
      <c r="I133" s="44">
        <f t="shared" si="144"/>
        <v>0.1</v>
      </c>
      <c r="J133" s="87">
        <v>30</v>
      </c>
      <c r="K133" s="142">
        <v>1</v>
      </c>
      <c r="L133" s="139">
        <f>'Rate Class Customer Model'!P22</f>
        <v>31424.03972186321</v>
      </c>
      <c r="M133" s="139">
        <f t="shared" si="119"/>
        <v>0</v>
      </c>
      <c r="N133" s="44">
        <f t="shared" si="133"/>
        <v>30239210.1032</v>
      </c>
      <c r="O133" s="44">
        <f t="shared" si="143"/>
        <v>40348701.47870867</v>
      </c>
      <c r="P133" s="29">
        <f t="shared" si="141"/>
        <v>40348701.47870867</v>
      </c>
      <c r="S133" s="121"/>
      <c r="T133" s="121"/>
      <c r="U133" s="121"/>
      <c r="V133"/>
    </row>
    <row r="134" spans="1:22" x14ac:dyDescent="0.2">
      <c r="A134" s="43">
        <v>46387</v>
      </c>
      <c r="B134" s="44"/>
      <c r="C134" s="44"/>
      <c r="D134" s="44"/>
      <c r="E134" s="44"/>
      <c r="F134" s="44"/>
      <c r="G134" s="44"/>
      <c r="H134" s="44">
        <f t="shared" ref="H134:I134" si="145">H122</f>
        <v>460.06000000000006</v>
      </c>
      <c r="I134" s="44">
        <f t="shared" si="145"/>
        <v>0</v>
      </c>
      <c r="J134" s="87">
        <v>31</v>
      </c>
      <c r="K134" s="142">
        <v>0</v>
      </c>
      <c r="L134" s="139">
        <f>'Rate Class Customer Model'!P23</f>
        <v>31451.479220911398</v>
      </c>
      <c r="M134" s="139">
        <f t="shared" si="119"/>
        <v>0</v>
      </c>
      <c r="N134" s="44">
        <f>N122*(1+N$150)</f>
        <v>27005229.2524</v>
      </c>
      <c r="O134" s="44">
        <f t="shared" si="143"/>
        <v>45509037.458839364</v>
      </c>
      <c r="P134" s="29">
        <f t="shared" si="141"/>
        <v>45509037.458839364</v>
      </c>
      <c r="S134" s="121"/>
      <c r="T134" s="121"/>
      <c r="U134" s="121"/>
      <c r="V134"/>
    </row>
    <row r="135" spans="1:22" x14ac:dyDescent="0.2">
      <c r="A135" s="43">
        <v>46418</v>
      </c>
      <c r="B135" s="44"/>
      <c r="C135" s="44"/>
      <c r="D135" s="44"/>
      <c r="E135" s="44"/>
      <c r="F135" s="44"/>
      <c r="G135" s="44"/>
      <c r="H135" s="44">
        <f t="shared" ref="H135:I135" si="146">H123</f>
        <v>492.16999999999996</v>
      </c>
      <c r="I135" s="44">
        <f t="shared" si="146"/>
        <v>0</v>
      </c>
      <c r="J135" s="87">
        <v>31</v>
      </c>
      <c r="K135" s="142">
        <v>0</v>
      </c>
      <c r="L135" s="139" cm="1">
        <f t="array" ref="L135:L146">'Rate Class Customer Model'!Q12:Q23</f>
        <v>31470.593604052097</v>
      </c>
      <c r="M135" s="139">
        <f t="shared" si="119"/>
        <v>0</v>
      </c>
      <c r="N135" s="44">
        <f>N123*(1+N$151)</f>
        <v>28471457.065407999</v>
      </c>
      <c r="O135" s="44">
        <f t="shared" si="143"/>
        <v>46288315.203536421</v>
      </c>
      <c r="P135" s="29">
        <f t="shared" si="141"/>
        <v>46288315.203536421</v>
      </c>
      <c r="S135" s="121"/>
      <c r="T135" s="121"/>
      <c r="U135" s="121"/>
      <c r="V135"/>
    </row>
    <row r="136" spans="1:22" x14ac:dyDescent="0.2">
      <c r="A136" s="43">
        <v>46446</v>
      </c>
      <c r="B136" s="44"/>
      <c r="C136" s="44"/>
      <c r="D136" s="44"/>
      <c r="E136" s="44"/>
      <c r="F136" s="44"/>
      <c r="G136" s="44"/>
      <c r="H136" s="44">
        <f t="shared" ref="H136:I136" si="147">H124</f>
        <v>420.35999999999996</v>
      </c>
      <c r="I136" s="44">
        <f t="shared" si="147"/>
        <v>0</v>
      </c>
      <c r="J136" s="44">
        <v>28</v>
      </c>
      <c r="K136" s="142">
        <v>0</v>
      </c>
      <c r="L136" s="139">
        <v>31489.719603805173</v>
      </c>
      <c r="M136" s="139">
        <f t="shared" si="119"/>
        <v>0</v>
      </c>
      <c r="N136" s="44">
        <f t="shared" ref="N136:N145" si="148">N124*(1+N$151)</f>
        <v>28357907.897759996</v>
      </c>
      <c r="O136" s="44">
        <f t="shared" si="143"/>
        <v>42595250.070181265</v>
      </c>
      <c r="P136" s="29">
        <f t="shared" si="141"/>
        <v>42595250.070181265</v>
      </c>
      <c r="S136" s="121"/>
      <c r="T136" s="121"/>
      <c r="U136" s="121"/>
      <c r="V136"/>
    </row>
    <row r="137" spans="1:22" x14ac:dyDescent="0.2">
      <c r="A137" s="43">
        <v>46477</v>
      </c>
      <c r="B137" s="44"/>
      <c r="C137" s="44"/>
      <c r="D137" s="44"/>
      <c r="E137" s="44"/>
      <c r="F137" s="44"/>
      <c r="G137" s="44"/>
      <c r="H137" s="44">
        <f t="shared" ref="H137:I137" si="149">H125</f>
        <v>361.91</v>
      </c>
      <c r="I137" s="44">
        <f t="shared" si="149"/>
        <v>0</v>
      </c>
      <c r="J137" s="87">
        <v>31</v>
      </c>
      <c r="K137" s="142">
        <v>1</v>
      </c>
      <c r="L137" s="139">
        <v>31508.857227230532</v>
      </c>
      <c r="M137" s="139">
        <f t="shared" si="119"/>
        <v>0</v>
      </c>
      <c r="N137" s="44">
        <f>N125*(1+N$151)</f>
        <v>29566256.305767994</v>
      </c>
      <c r="O137" s="44">
        <f t="shared" si="143"/>
        <v>41954096.131768629</v>
      </c>
      <c r="P137" s="29">
        <f t="shared" si="141"/>
        <v>41954096.131768629</v>
      </c>
      <c r="S137" s="121"/>
      <c r="T137" s="121"/>
      <c r="U137" s="121"/>
      <c r="V137"/>
    </row>
    <row r="138" spans="1:22" x14ac:dyDescent="0.2">
      <c r="A138" s="43">
        <v>46507</v>
      </c>
      <c r="B138" s="44"/>
      <c r="C138" s="44"/>
      <c r="D138" s="44"/>
      <c r="E138" s="44"/>
      <c r="F138" s="44"/>
      <c r="G138" s="44"/>
      <c r="H138" s="44">
        <f t="shared" ref="H138:I138" si="150">H126</f>
        <v>249.59</v>
      </c>
      <c r="I138" s="44">
        <f t="shared" si="150"/>
        <v>0.2</v>
      </c>
      <c r="J138" s="87">
        <v>30</v>
      </c>
      <c r="K138" s="142">
        <v>1</v>
      </c>
      <c r="L138" s="139">
        <v>31528.006481392367</v>
      </c>
      <c r="M138" s="139">
        <f t="shared" si="119"/>
        <v>0</v>
      </c>
      <c r="N138" s="44">
        <f t="shared" si="148"/>
        <v>30011683.890495997</v>
      </c>
      <c r="O138" s="44">
        <f t="shared" si="143"/>
        <v>39610489.492816791</v>
      </c>
      <c r="P138" s="29">
        <f t="shared" si="141"/>
        <v>39610489.492816791</v>
      </c>
      <c r="S138" s="121"/>
      <c r="T138" s="121"/>
      <c r="U138" s="121"/>
      <c r="V138"/>
    </row>
    <row r="139" spans="1:22" x14ac:dyDescent="0.2">
      <c r="A139" s="43">
        <v>46538</v>
      </c>
      <c r="B139" s="44"/>
      <c r="C139" s="44"/>
      <c r="D139" s="44"/>
      <c r="E139" s="44"/>
      <c r="F139" s="44"/>
      <c r="G139" s="44"/>
      <c r="H139" s="44">
        <f t="shared" ref="H139:I139" si="151">H127</f>
        <v>107.23999999999998</v>
      </c>
      <c r="I139" s="44">
        <f t="shared" si="151"/>
        <v>12.239999999999998</v>
      </c>
      <c r="J139" s="87">
        <v>31</v>
      </c>
      <c r="K139" s="142">
        <v>1</v>
      </c>
      <c r="L139" s="139">
        <v>31547.167373359163</v>
      </c>
      <c r="M139" s="139">
        <f t="shared" si="119"/>
        <v>0</v>
      </c>
      <c r="N139" s="44">
        <f t="shared" si="148"/>
        <v>31349069.721703999</v>
      </c>
      <c r="O139" s="44">
        <f t="shared" si="143"/>
        <v>39584736.681577392</v>
      </c>
      <c r="P139" s="29">
        <f t="shared" si="141"/>
        <v>39584736.681577392</v>
      </c>
      <c r="S139" s="121"/>
      <c r="T139" s="121"/>
      <c r="U139" s="121"/>
      <c r="V139"/>
    </row>
    <row r="140" spans="1:22" x14ac:dyDescent="0.2">
      <c r="A140" s="43">
        <v>46568</v>
      </c>
      <c r="B140" s="44"/>
      <c r="C140" s="44"/>
      <c r="D140" s="44"/>
      <c r="E140" s="44"/>
      <c r="F140" s="44"/>
      <c r="G140" s="44"/>
      <c r="H140" s="44">
        <f t="shared" ref="H140:I140" si="152">H128</f>
        <v>16.089999999999996</v>
      </c>
      <c r="I140" s="44">
        <f t="shared" si="152"/>
        <v>52.410000000000004</v>
      </c>
      <c r="J140" s="140">
        <v>30</v>
      </c>
      <c r="K140" s="142">
        <v>0</v>
      </c>
      <c r="L140" s="139">
        <v>31566.3399102037</v>
      </c>
      <c r="M140" s="139">
        <f t="shared" si="119"/>
        <v>0</v>
      </c>
      <c r="N140" s="44">
        <f t="shared" si="148"/>
        <v>29311855.872935999</v>
      </c>
      <c r="O140" s="44">
        <f t="shared" si="143"/>
        <v>42352232.228386313</v>
      </c>
      <c r="P140" s="29">
        <f t="shared" si="141"/>
        <v>42352232.228386313</v>
      </c>
      <c r="S140" s="121"/>
      <c r="T140" s="121"/>
      <c r="U140" s="121"/>
      <c r="V140"/>
    </row>
    <row r="141" spans="1:22" x14ac:dyDescent="0.2">
      <c r="A141" s="43">
        <v>46599</v>
      </c>
      <c r="B141" s="44"/>
      <c r="C141" s="44"/>
      <c r="D141" s="44"/>
      <c r="E141" s="44"/>
      <c r="F141" s="44"/>
      <c r="G141" s="44"/>
      <c r="H141" s="44">
        <f t="shared" ref="H141:I141" si="153">H129</f>
        <v>0.65</v>
      </c>
      <c r="I141" s="44">
        <f t="shared" si="153"/>
        <v>112.46</v>
      </c>
      <c r="J141" s="87">
        <v>31</v>
      </c>
      <c r="K141" s="142">
        <v>0</v>
      </c>
      <c r="L141" s="139">
        <v>31585.524099003062</v>
      </c>
      <c r="M141" s="139">
        <f t="shared" si="119"/>
        <v>1</v>
      </c>
      <c r="N141" s="44">
        <f t="shared" si="148"/>
        <v>28182478.179687995</v>
      </c>
      <c r="O141" s="44">
        <f t="shared" si="143"/>
        <v>49966936.360591412</v>
      </c>
      <c r="P141" s="29">
        <f t="shared" si="141"/>
        <v>49966936.360591412</v>
      </c>
      <c r="S141" s="121"/>
      <c r="T141" s="121"/>
      <c r="U141" s="121"/>
      <c r="V141"/>
    </row>
    <row r="142" spans="1:22" x14ac:dyDescent="0.2">
      <c r="A142" s="43">
        <v>46630</v>
      </c>
      <c r="B142" s="44"/>
      <c r="C142" s="44"/>
      <c r="D142" s="44"/>
      <c r="E142" s="44"/>
      <c r="F142" s="44"/>
      <c r="G142" s="44"/>
      <c r="H142" s="44">
        <f t="shared" ref="H142:I142" si="154">H130</f>
        <v>3.2599999999999993</v>
      </c>
      <c r="I142" s="44">
        <f t="shared" si="154"/>
        <v>112.46</v>
      </c>
      <c r="J142" s="87">
        <v>31</v>
      </c>
      <c r="K142" s="142">
        <v>0</v>
      </c>
      <c r="L142" s="139">
        <v>31604.719946838628</v>
      </c>
      <c r="M142" s="139">
        <f t="shared" si="119"/>
        <v>1</v>
      </c>
      <c r="N142" s="44">
        <f t="shared" si="148"/>
        <v>29177085.649264</v>
      </c>
      <c r="O142" s="44">
        <f t="shared" si="143"/>
        <v>50231496.75183624</v>
      </c>
      <c r="P142" s="29">
        <f t="shared" si="141"/>
        <v>50231496.75183624</v>
      </c>
      <c r="S142" s="121"/>
      <c r="T142" s="121"/>
      <c r="U142" s="121"/>
      <c r="V142"/>
    </row>
    <row r="143" spans="1:22" x14ac:dyDescent="0.2">
      <c r="A143" s="43">
        <v>46660</v>
      </c>
      <c r="B143" s="44"/>
      <c r="C143" s="44"/>
      <c r="D143" s="44"/>
      <c r="E143" s="44"/>
      <c r="F143" s="44"/>
      <c r="G143" s="44"/>
      <c r="H143" s="44">
        <f t="shared" ref="H143:I143" si="155">H131</f>
        <v>28.679999999999996</v>
      </c>
      <c r="I143" s="44">
        <f t="shared" si="155"/>
        <v>44.01</v>
      </c>
      <c r="J143" s="87">
        <v>30</v>
      </c>
      <c r="K143" s="142">
        <v>1</v>
      </c>
      <c r="L143" s="139">
        <v>31623.927460796087</v>
      </c>
      <c r="M143" s="139">
        <f t="shared" si="119"/>
        <v>0</v>
      </c>
      <c r="N143" s="44">
        <f t="shared" si="148"/>
        <v>29158183.690328002</v>
      </c>
      <c r="O143" s="44">
        <f t="shared" si="143"/>
        <v>39225351.546066597</v>
      </c>
      <c r="P143" s="29">
        <f t="shared" si="141"/>
        <v>39225351.546066597</v>
      </c>
      <c r="S143" s="121"/>
      <c r="T143" s="121"/>
      <c r="U143" s="121"/>
      <c r="V143"/>
    </row>
    <row r="144" spans="1:22" x14ac:dyDescent="0.2">
      <c r="A144" s="43">
        <v>46691</v>
      </c>
      <c r="B144" s="44"/>
      <c r="C144" s="44"/>
      <c r="D144" s="44"/>
      <c r="E144" s="44"/>
      <c r="F144" s="44"/>
      <c r="G144" s="44"/>
      <c r="H144" s="44">
        <f t="shared" ref="H144:I144" si="156">H132</f>
        <v>141.75</v>
      </c>
      <c r="I144" s="44">
        <f t="shared" si="156"/>
        <v>6.5299999999999994</v>
      </c>
      <c r="J144" s="87">
        <v>31</v>
      </c>
      <c r="K144" s="142">
        <v>1</v>
      </c>
      <c r="L144" s="139">
        <v>31643.146647965426</v>
      </c>
      <c r="M144" s="139">
        <f t="shared" si="119"/>
        <v>0</v>
      </c>
      <c r="N144" s="44">
        <f t="shared" si="148"/>
        <v>30097282.479320001</v>
      </c>
      <c r="O144" s="44">
        <f t="shared" si="143"/>
        <v>39503489.27723705</v>
      </c>
      <c r="P144" s="29">
        <f t="shared" si="141"/>
        <v>39503489.27723705</v>
      </c>
      <c r="S144" s="121"/>
      <c r="T144" s="121"/>
      <c r="U144" s="121"/>
      <c r="V144"/>
    </row>
    <row r="145" spans="1:22" x14ac:dyDescent="0.2">
      <c r="A145" s="43">
        <v>46721</v>
      </c>
      <c r="B145" s="44"/>
      <c r="C145" s="44"/>
      <c r="D145" s="44"/>
      <c r="E145" s="44"/>
      <c r="F145" s="44"/>
      <c r="G145" s="44"/>
      <c r="H145" s="44">
        <f t="shared" ref="H145:I145" si="157">H133</f>
        <v>304.77999999999992</v>
      </c>
      <c r="I145" s="44">
        <f t="shared" si="157"/>
        <v>0.1</v>
      </c>
      <c r="J145" s="87">
        <v>30</v>
      </c>
      <c r="K145" s="142">
        <v>1</v>
      </c>
      <c r="L145" s="139">
        <v>31662.377515440949</v>
      </c>
      <c r="M145" s="139">
        <f t="shared" si="119"/>
        <v>0</v>
      </c>
      <c r="N145" s="44">
        <f t="shared" si="148"/>
        <v>29634425.901136</v>
      </c>
      <c r="O145" s="44">
        <f t="shared" si="143"/>
        <v>40397118.64532575</v>
      </c>
      <c r="P145" s="29">
        <f t="shared" si="141"/>
        <v>40397118.64532575</v>
      </c>
      <c r="S145" s="121"/>
      <c r="T145" s="121"/>
      <c r="U145" s="121"/>
      <c r="V145"/>
    </row>
    <row r="146" spans="1:22" x14ac:dyDescent="0.2">
      <c r="A146" s="43">
        <v>46752</v>
      </c>
      <c r="B146" s="44"/>
      <c r="C146" s="44"/>
      <c r="D146" s="44"/>
      <c r="E146" s="44"/>
      <c r="F146" s="44"/>
      <c r="G146" s="44"/>
      <c r="H146" s="44">
        <f t="shared" ref="H146:I146" si="158">H134</f>
        <v>460.06000000000006</v>
      </c>
      <c r="I146" s="44">
        <f t="shared" si="158"/>
        <v>0</v>
      </c>
      <c r="J146" s="87">
        <v>31</v>
      </c>
      <c r="K146" s="142">
        <v>0</v>
      </c>
      <c r="L146" s="139">
        <v>31681.620070321267</v>
      </c>
      <c r="M146" s="139">
        <f t="shared" si="119"/>
        <v>0</v>
      </c>
      <c r="N146" s="44">
        <f>N134*(1+N$151)</f>
        <v>26465124.667351998</v>
      </c>
      <c r="O146" s="44">
        <f t="shared" si="143"/>
        <v>45565213.714600965</v>
      </c>
      <c r="P146" s="29">
        <f t="shared" si="141"/>
        <v>45565213.714600965</v>
      </c>
      <c r="S146" s="121"/>
      <c r="T146" s="121"/>
      <c r="U146" s="121"/>
      <c r="V146"/>
    </row>
    <row r="147" spans="1:22" x14ac:dyDescent="0.2">
      <c r="A147" s="30"/>
      <c r="K147" s="53"/>
    </row>
    <row r="148" spans="1:22" x14ac:dyDescent="0.2">
      <c r="A148" s="30"/>
      <c r="K148" s="53"/>
      <c r="U148" s="195"/>
    </row>
    <row r="149" spans="1:22" ht="12.6" customHeight="1" x14ac:dyDescent="0.2">
      <c r="A149" s="30"/>
      <c r="H149" s="91" t="s">
        <v>142</v>
      </c>
      <c r="I149" s="89"/>
      <c r="J149" s="89"/>
      <c r="K149" s="53"/>
      <c r="M149" s="101" t="s">
        <v>145</v>
      </c>
      <c r="N149" s="166">
        <v>-0.02</v>
      </c>
      <c r="U149" s="195"/>
    </row>
    <row r="150" spans="1:22" x14ac:dyDescent="0.2">
      <c r="A150" s="30"/>
      <c r="H150" s="92" t="s">
        <v>63</v>
      </c>
      <c r="I150" s="90"/>
      <c r="J150" s="90"/>
      <c r="K150" s="53"/>
      <c r="M150" s="101" t="s">
        <v>146</v>
      </c>
      <c r="N150" s="166">
        <v>-0.02</v>
      </c>
      <c r="P150" s="29">
        <f>SUM(O3:O146)</f>
        <v>6012790118.1822519</v>
      </c>
      <c r="U150" s="195"/>
    </row>
    <row r="151" spans="1:22" x14ac:dyDescent="0.2">
      <c r="A151" s="30"/>
      <c r="K151" s="53"/>
      <c r="M151" s="48" t="s">
        <v>147</v>
      </c>
      <c r="N151" s="166">
        <v>-0.02</v>
      </c>
      <c r="Q151" s="48" t="s">
        <v>100</v>
      </c>
      <c r="R151" s="48" t="s">
        <v>101</v>
      </c>
      <c r="S151" s="48" t="s">
        <v>80</v>
      </c>
      <c r="T151" s="48"/>
      <c r="U151" s="195"/>
    </row>
    <row r="152" spans="1:22" x14ac:dyDescent="0.2">
      <c r="A152" s="24">
        <v>2016</v>
      </c>
      <c r="B152" s="6">
        <f>SUM(B3:B14)</f>
        <v>488555532.25999981</v>
      </c>
      <c r="D152" s="6">
        <f t="shared" ref="D152:G152" si="159">SUM(D3:D14)</f>
        <v>488555532.25999981</v>
      </c>
      <c r="E152" s="6">
        <f t="shared" si="159"/>
        <v>0</v>
      </c>
      <c r="F152" s="6">
        <f t="shared" si="159"/>
        <v>0</v>
      </c>
      <c r="G152" s="6">
        <f t="shared" si="159"/>
        <v>488555532.25999981</v>
      </c>
      <c r="H152" s="6"/>
      <c r="I152" s="6"/>
      <c r="J152" s="6"/>
      <c r="K152" s="6"/>
      <c r="L152" s="6"/>
      <c r="M152" s="6"/>
      <c r="N152" s="6"/>
      <c r="O152" s="6"/>
      <c r="P152" s="6">
        <f>SUM(O3:O14)</f>
        <v>481363844.56955183</v>
      </c>
      <c r="Q152" s="6">
        <v>0</v>
      </c>
      <c r="R152" s="6">
        <v>0</v>
      </c>
      <c r="S152" s="6">
        <f>P152+Q152+R152</f>
        <v>481363844.56955183</v>
      </c>
      <c r="T152" s="55"/>
      <c r="U152" s="5"/>
      <c r="V152" s="6"/>
    </row>
    <row r="153" spans="1:22" x14ac:dyDescent="0.2">
      <c r="A153" s="24">
        <v>2017</v>
      </c>
      <c r="B153" s="6">
        <f>SUM(B15:B26)</f>
        <v>476330269.50999999</v>
      </c>
      <c r="D153" s="6">
        <f t="shared" ref="D153:G153" si="160">SUM(D15:D26)</f>
        <v>476330269.50999999</v>
      </c>
      <c r="E153" s="6">
        <f t="shared" si="160"/>
        <v>0</v>
      </c>
      <c r="F153" s="6">
        <f t="shared" si="160"/>
        <v>0</v>
      </c>
      <c r="G153" s="6">
        <f t="shared" si="160"/>
        <v>476330269.50999999</v>
      </c>
      <c r="H153" s="6"/>
      <c r="I153" s="6"/>
      <c r="J153" s="6"/>
      <c r="K153" s="6"/>
      <c r="L153" s="6"/>
      <c r="M153" s="6"/>
      <c r="N153" s="6"/>
      <c r="O153" s="6"/>
      <c r="P153" s="6">
        <f>SUM(O15:O26)</f>
        <v>482704688.45498258</v>
      </c>
      <c r="Q153" s="6">
        <v>0</v>
      </c>
      <c r="R153" s="6">
        <v>0</v>
      </c>
      <c r="S153" s="6">
        <f t="shared" ref="S153:S163" si="161">P153+Q153+R153</f>
        <v>482704688.45498258</v>
      </c>
      <c r="T153" s="55"/>
      <c r="U153" s="5"/>
      <c r="V153" s="6"/>
    </row>
    <row r="154" spans="1:22" x14ac:dyDescent="0.2">
      <c r="A154" s="24">
        <v>2018</v>
      </c>
      <c r="B154" s="6">
        <f>SUM(B27:B38)</f>
        <v>499580482.79999995</v>
      </c>
      <c r="D154" s="6">
        <f t="shared" ref="D154:G154" si="162">SUM(D27:D38)</f>
        <v>499580482.79999995</v>
      </c>
      <c r="E154" s="6">
        <f t="shared" si="162"/>
        <v>0</v>
      </c>
      <c r="F154" s="6">
        <f t="shared" si="162"/>
        <v>0</v>
      </c>
      <c r="G154" s="6">
        <f t="shared" si="162"/>
        <v>499580482.79999995</v>
      </c>
      <c r="H154" s="6"/>
      <c r="I154" s="6"/>
      <c r="J154" s="6"/>
      <c r="K154" s="6"/>
      <c r="L154" s="6"/>
      <c r="M154" s="6"/>
      <c r="N154" s="6"/>
      <c r="O154" s="6"/>
      <c r="P154" s="6">
        <f>SUM(O27:O38)</f>
        <v>487934641.89490724</v>
      </c>
      <c r="Q154" s="6">
        <v>0</v>
      </c>
      <c r="R154" s="6">
        <v>0</v>
      </c>
      <c r="S154" s="6">
        <f t="shared" si="161"/>
        <v>487934641.89490724</v>
      </c>
      <c r="T154" s="55"/>
      <c r="U154" s="5"/>
      <c r="V154" s="6"/>
    </row>
    <row r="155" spans="1:22" x14ac:dyDescent="0.2">
      <c r="A155" s="24">
        <v>2019</v>
      </c>
      <c r="B155" s="6">
        <f>SUM(B39:B50)</f>
        <v>489885593.67000008</v>
      </c>
      <c r="D155" s="6">
        <f t="shared" ref="D155:G155" si="163">SUM(D39:D50)</f>
        <v>489885593.67000008</v>
      </c>
      <c r="E155" s="6">
        <f t="shared" si="163"/>
        <v>0</v>
      </c>
      <c r="F155" s="6">
        <f t="shared" si="163"/>
        <v>0</v>
      </c>
      <c r="G155" s="6">
        <f t="shared" si="163"/>
        <v>489885593.67000008</v>
      </c>
      <c r="H155" s="6"/>
      <c r="I155" s="6"/>
      <c r="J155" s="6"/>
      <c r="K155" s="6"/>
      <c r="L155" s="6"/>
      <c r="M155" s="6"/>
      <c r="N155" s="6"/>
      <c r="O155" s="6"/>
      <c r="P155" s="6">
        <f>SUM(O39:O50)</f>
        <v>490235827.99307746</v>
      </c>
      <c r="Q155" s="6">
        <v>0</v>
      </c>
      <c r="R155" s="6">
        <v>0</v>
      </c>
      <c r="S155" s="6">
        <f t="shared" si="161"/>
        <v>490235827.99307746</v>
      </c>
      <c r="T155" s="55"/>
      <c r="U155" s="5"/>
      <c r="V155" s="6"/>
    </row>
    <row r="156" spans="1:22" x14ac:dyDescent="0.2">
      <c r="A156" s="24">
        <v>2020</v>
      </c>
      <c r="B156" s="6">
        <f>SUM(B51:B62)</f>
        <v>482685186</v>
      </c>
      <c r="D156" s="6">
        <f t="shared" ref="D156:G156" si="164">SUM(D51:D62)</f>
        <v>482685186</v>
      </c>
      <c r="E156" s="6">
        <f t="shared" si="164"/>
        <v>0</v>
      </c>
      <c r="F156" s="6">
        <f t="shared" si="164"/>
        <v>0</v>
      </c>
      <c r="G156" s="6">
        <f t="shared" si="164"/>
        <v>482685186</v>
      </c>
      <c r="H156" s="6"/>
      <c r="I156" s="6"/>
      <c r="J156" s="6"/>
      <c r="K156" s="6"/>
      <c r="L156" s="6"/>
      <c r="M156" s="6"/>
      <c r="N156" s="6"/>
      <c r="O156" s="6"/>
      <c r="P156" s="6">
        <f>SUM(O51:O62)</f>
        <v>485032916.00263208</v>
      </c>
      <c r="Q156" s="6">
        <v>0</v>
      </c>
      <c r="R156" s="6">
        <v>0</v>
      </c>
      <c r="S156" s="6">
        <f t="shared" si="161"/>
        <v>485032916.00263208</v>
      </c>
      <c r="T156" s="55"/>
      <c r="U156" s="5"/>
      <c r="V156" s="6"/>
    </row>
    <row r="157" spans="1:22" x14ac:dyDescent="0.2">
      <c r="A157" s="24">
        <v>2021</v>
      </c>
      <c r="B157" s="6">
        <f>SUM(B63:B74)</f>
        <v>491981128.84560001</v>
      </c>
      <c r="D157" s="6">
        <f t="shared" ref="D157:G157" si="165">SUM(D63:D74)</f>
        <v>491981128.84560001</v>
      </c>
      <c r="E157" s="6">
        <f t="shared" si="165"/>
        <v>0</v>
      </c>
      <c r="F157" s="6">
        <f t="shared" si="165"/>
        <v>0</v>
      </c>
      <c r="G157" s="6">
        <f t="shared" si="165"/>
        <v>491981128.84560001</v>
      </c>
      <c r="H157" s="6"/>
      <c r="I157" s="6"/>
      <c r="J157" s="6"/>
      <c r="K157" s="6"/>
      <c r="L157" s="6"/>
      <c r="M157" s="6"/>
      <c r="N157" s="6"/>
      <c r="O157" s="6"/>
      <c r="P157" s="6">
        <f>SUM(O63:O74)</f>
        <v>494001058.20590556</v>
      </c>
      <c r="Q157" s="6">
        <v>0</v>
      </c>
      <c r="R157" s="6">
        <v>0</v>
      </c>
      <c r="S157" s="6">
        <f t="shared" si="161"/>
        <v>494001058.20590556</v>
      </c>
      <c r="T157" s="55"/>
      <c r="U157" s="5"/>
      <c r="V157" s="6"/>
    </row>
    <row r="158" spans="1:22" x14ac:dyDescent="0.2">
      <c r="A158" s="24">
        <v>2022</v>
      </c>
      <c r="B158" s="6">
        <f>SUM(B75:B86)</f>
        <v>509139278.70600003</v>
      </c>
      <c r="D158" s="6">
        <f t="shared" ref="D158:G158" si="166">SUM(D75:D86)</f>
        <v>509139278.70600003</v>
      </c>
      <c r="E158" s="6">
        <f t="shared" si="166"/>
        <v>0</v>
      </c>
      <c r="F158" s="6">
        <f t="shared" si="166"/>
        <v>0</v>
      </c>
      <c r="G158" s="6">
        <f t="shared" si="166"/>
        <v>509139278.70600003</v>
      </c>
      <c r="H158" s="6"/>
      <c r="I158" s="6"/>
      <c r="J158" s="6"/>
      <c r="K158" s="6"/>
      <c r="L158" s="6"/>
      <c r="M158" s="6"/>
      <c r="N158" s="6"/>
      <c r="O158" s="6"/>
      <c r="P158" s="6">
        <f>SUM(O75:O86)</f>
        <v>509607151.92788178</v>
      </c>
      <c r="Q158" s="6">
        <v>0</v>
      </c>
      <c r="R158" s="6">
        <v>0</v>
      </c>
      <c r="S158" s="6">
        <f t="shared" si="161"/>
        <v>509607151.92788178</v>
      </c>
      <c r="T158" s="55"/>
      <c r="U158" s="5"/>
      <c r="V158" s="6"/>
    </row>
    <row r="159" spans="1:22" x14ac:dyDescent="0.2">
      <c r="A159" s="24">
        <v>2023</v>
      </c>
      <c r="B159" s="6">
        <f>SUM(B87:B98)</f>
        <v>499577067.48000002</v>
      </c>
      <c r="D159" s="6">
        <f t="shared" ref="D159:G159" si="167">SUM(D87:D98)</f>
        <v>499577067.48000002</v>
      </c>
      <c r="E159" s="6">
        <f t="shared" si="167"/>
        <v>0</v>
      </c>
      <c r="F159" s="6">
        <f t="shared" si="167"/>
        <v>0</v>
      </c>
      <c r="G159" s="6">
        <f t="shared" si="167"/>
        <v>499577067.48000002</v>
      </c>
      <c r="H159" s="6"/>
      <c r="I159" s="6"/>
      <c r="J159" s="6"/>
      <c r="K159" s="6"/>
      <c r="L159" s="6"/>
      <c r="M159" s="6"/>
      <c r="N159" s="6"/>
      <c r="O159" s="6"/>
      <c r="P159" s="6">
        <f>SUM(O87:O98)</f>
        <v>516814819.97871953</v>
      </c>
      <c r="Q159" s="6">
        <v>0</v>
      </c>
      <c r="R159" s="6">
        <v>0</v>
      </c>
      <c r="S159" s="6">
        <f t="shared" si="161"/>
        <v>516814819.97871953</v>
      </c>
      <c r="T159" s="55"/>
      <c r="U159" s="5"/>
      <c r="V159" s="6"/>
    </row>
    <row r="160" spans="1:22" x14ac:dyDescent="0.2">
      <c r="A160" s="24">
        <v>2024</v>
      </c>
      <c r="B160" s="6">
        <f>SUM(B99:B110)</f>
        <v>513995694.87999994</v>
      </c>
      <c r="D160" s="6">
        <f t="shared" ref="D160:G160" si="168">SUM(D99:D110)</f>
        <v>513995694.87999994</v>
      </c>
      <c r="E160" s="6">
        <f t="shared" si="168"/>
        <v>0</v>
      </c>
      <c r="F160" s="6">
        <f t="shared" si="168"/>
        <v>0</v>
      </c>
      <c r="G160" s="6">
        <f t="shared" si="168"/>
        <v>513995694.87999994</v>
      </c>
      <c r="H160" s="6"/>
      <c r="I160" s="6"/>
      <c r="J160" s="6"/>
      <c r="K160" s="6"/>
      <c r="L160" s="6"/>
      <c r="M160" s="6"/>
      <c r="N160" s="6"/>
      <c r="O160" s="6"/>
      <c r="P160" s="6">
        <f>SUM(O99:O110)</f>
        <v>516028850.62958187</v>
      </c>
      <c r="Q160" s="6">
        <v>0</v>
      </c>
      <c r="R160" s="6">
        <v>0</v>
      </c>
      <c r="S160" s="6">
        <f t="shared" si="161"/>
        <v>516028850.62958187</v>
      </c>
      <c r="T160" s="55"/>
      <c r="U160" s="5"/>
      <c r="V160" s="5"/>
    </row>
    <row r="161" spans="1:22" x14ac:dyDescent="0.2">
      <c r="A161" s="24">
        <v>2025</v>
      </c>
      <c r="B161" s="6">
        <f>SUM(B111:B122)</f>
        <v>527446133.11000001</v>
      </c>
      <c r="D161" s="6">
        <f>SUM(D111:D122)</f>
        <v>527446133.11000001</v>
      </c>
      <c r="E161" s="6">
        <f>SUM(E111:E122)</f>
        <v>0</v>
      </c>
      <c r="F161" s="6">
        <f>SUM(F111:F122)</f>
        <v>0</v>
      </c>
      <c r="G161" s="6">
        <f>SUM(G111:G122)</f>
        <v>527446133.11000001</v>
      </c>
      <c r="H161" s="6"/>
      <c r="I161" s="6"/>
      <c r="J161" s="6"/>
      <c r="K161" s="6"/>
      <c r="L161" s="6"/>
      <c r="M161" s="6"/>
      <c r="N161" s="6"/>
      <c r="O161" s="6"/>
      <c r="P161" s="6">
        <f>SUM(O111:O122)</f>
        <v>515452567.60435975</v>
      </c>
      <c r="Q161" s="6">
        <v>0</v>
      </c>
      <c r="R161" s="6">
        <v>0</v>
      </c>
      <c r="S161" s="6">
        <f t="shared" si="161"/>
        <v>515452567.60435975</v>
      </c>
      <c r="T161" s="55"/>
      <c r="U161" s="5"/>
      <c r="V161" s="5"/>
    </row>
    <row r="162" spans="1:22" x14ac:dyDescent="0.2">
      <c r="A162" s="24">
        <v>2026</v>
      </c>
      <c r="P162" s="13">
        <f>SUM(O123:O134)</f>
        <v>516339024.81672943</v>
      </c>
      <c r="Q162" s="6">
        <v>0</v>
      </c>
      <c r="R162" s="6">
        <v>0</v>
      </c>
      <c r="S162" s="6">
        <f t="shared" si="161"/>
        <v>516339024.81672943</v>
      </c>
      <c r="T162" s="55"/>
      <c r="U162" s="5"/>
      <c r="V162" s="5"/>
    </row>
    <row r="163" spans="1:22" x14ac:dyDescent="0.2">
      <c r="A163" s="24">
        <v>2027</v>
      </c>
      <c r="P163" s="13">
        <f>SUM(O135:O146)</f>
        <v>517274726.10392481</v>
      </c>
      <c r="Q163" s="6">
        <v>0</v>
      </c>
      <c r="R163" s="6">
        <v>0</v>
      </c>
      <c r="S163" s="6">
        <f t="shared" si="161"/>
        <v>517274726.10392481</v>
      </c>
      <c r="T163" s="55"/>
      <c r="U163" s="5"/>
      <c r="V163" s="5"/>
    </row>
    <row r="164" spans="1:22" x14ac:dyDescent="0.2">
      <c r="P164" s="6"/>
    </row>
    <row r="165" spans="1:22" x14ac:dyDescent="0.2">
      <c r="A165" s="38" t="s">
        <v>7</v>
      </c>
      <c r="B165" s="6">
        <f>SUM(B152:B161)</f>
        <v>4979176367.2615995</v>
      </c>
      <c r="D165" s="6">
        <f>SUM(D152:D161)</f>
        <v>4979176367.2615995</v>
      </c>
      <c r="E165" s="6">
        <f t="shared" ref="E165:F165" si="169">SUM(E152:E161)</f>
        <v>0</v>
      </c>
      <c r="F165" s="6">
        <f t="shared" si="169"/>
        <v>0</v>
      </c>
      <c r="G165" s="6">
        <f>SUM(G152:G161)</f>
        <v>4979176367.2615995</v>
      </c>
      <c r="L165" s="1" t="s">
        <v>94</v>
      </c>
      <c r="P165" s="6">
        <f>SUM(P152:P161)</f>
        <v>4979176367.2615995</v>
      </c>
      <c r="S165" s="6">
        <f>SUM(S152:S161)</f>
        <v>4979176367.2615995</v>
      </c>
    </row>
    <row r="166" spans="1:22" x14ac:dyDescent="0.2">
      <c r="P166" s="29">
        <f>P165-G165</f>
        <v>0</v>
      </c>
      <c r="S166" s="55">
        <f>S165-D165</f>
        <v>0</v>
      </c>
    </row>
    <row r="168" spans="1:22" x14ac:dyDescent="0.2">
      <c r="Q168"/>
      <c r="R168"/>
      <c r="S168"/>
      <c r="T168"/>
      <c r="U168"/>
      <c r="V168"/>
    </row>
    <row r="169" spans="1:22" x14ac:dyDescent="0.2">
      <c r="P169" s="6">
        <f>SUM(P152:P163)</f>
        <v>6012790118.1822538</v>
      </c>
    </row>
    <row r="170" spans="1:22" x14ac:dyDescent="0.2">
      <c r="P170" s="29">
        <f>P150-P169</f>
        <v>0</v>
      </c>
    </row>
    <row r="171" spans="1:22" x14ac:dyDescent="0.2">
      <c r="A171"/>
      <c r="B171"/>
      <c r="C171"/>
      <c r="D171"/>
      <c r="E171"/>
      <c r="F171"/>
      <c r="G171"/>
      <c r="H171"/>
      <c r="I171"/>
      <c r="J171"/>
      <c r="L171"/>
      <c r="M171"/>
      <c r="N171"/>
      <c r="O171"/>
      <c r="P171"/>
      <c r="Q171"/>
    </row>
    <row r="172" spans="1:22" x14ac:dyDescent="0.2">
      <c r="A172"/>
      <c r="B172"/>
      <c r="C172"/>
      <c r="D172"/>
      <c r="E172"/>
      <c r="F172"/>
      <c r="G172"/>
      <c r="H172"/>
      <c r="I172"/>
      <c r="J172"/>
      <c r="L172"/>
      <c r="M172"/>
      <c r="N172"/>
      <c r="O172"/>
      <c r="P172"/>
      <c r="Q172"/>
    </row>
    <row r="173" spans="1:22" x14ac:dyDescent="0.2">
      <c r="A173"/>
      <c r="B173"/>
      <c r="C173"/>
      <c r="D173"/>
      <c r="E173"/>
      <c r="F173"/>
      <c r="G173"/>
      <c r="H173"/>
      <c r="I173"/>
      <c r="J173"/>
      <c r="L173"/>
      <c r="M173"/>
      <c r="N173"/>
      <c r="O173"/>
      <c r="P173"/>
      <c r="Q173"/>
    </row>
    <row r="174" spans="1:22" x14ac:dyDescent="0.2">
      <c r="A174"/>
      <c r="B174"/>
      <c r="C174"/>
      <c r="D174"/>
      <c r="E174"/>
      <c r="F174"/>
      <c r="G174"/>
      <c r="H174"/>
      <c r="I174"/>
      <c r="J174"/>
      <c r="L174"/>
      <c r="M174"/>
      <c r="N174"/>
      <c r="O174"/>
      <c r="P174"/>
      <c r="Q174"/>
    </row>
    <row r="175" spans="1:22" x14ac:dyDescent="0.2">
      <c r="A175"/>
      <c r="B175"/>
      <c r="C175"/>
      <c r="H175" s="6"/>
      <c r="I175" s="6"/>
      <c r="J175" s="6"/>
      <c r="L175"/>
      <c r="M175"/>
      <c r="N175"/>
      <c r="O175"/>
      <c r="P175"/>
      <c r="Q175"/>
    </row>
    <row r="176" spans="1:22" x14ac:dyDescent="0.2">
      <c r="A176"/>
      <c r="B176"/>
      <c r="C176"/>
      <c r="H176" s="6"/>
      <c r="I176" s="6"/>
      <c r="J176" s="6"/>
      <c r="L176"/>
      <c r="M176"/>
      <c r="N176"/>
      <c r="O176"/>
      <c r="P176"/>
      <c r="Q176"/>
    </row>
    <row r="177" spans="1:22" x14ac:dyDescent="0.2">
      <c r="A177"/>
      <c r="B177"/>
      <c r="C177"/>
      <c r="H177" s="6"/>
      <c r="I177" s="6"/>
      <c r="J177" s="6"/>
      <c r="L177"/>
      <c r="M177"/>
      <c r="N177"/>
      <c r="O177"/>
      <c r="P177"/>
      <c r="Q177"/>
    </row>
    <row r="178" spans="1:22" x14ac:dyDescent="0.2">
      <c r="A178"/>
      <c r="B178"/>
      <c r="C178"/>
      <c r="H178" s="6"/>
      <c r="I178" s="6"/>
      <c r="J178" s="6"/>
      <c r="L178"/>
      <c r="M178"/>
      <c r="N178"/>
      <c r="O178"/>
      <c r="P178"/>
      <c r="Q178"/>
    </row>
    <row r="179" spans="1:22" x14ac:dyDescent="0.2">
      <c r="A179"/>
      <c r="B179"/>
      <c r="C179"/>
      <c r="H179" s="6"/>
      <c r="I179" s="6"/>
      <c r="J179" s="6"/>
      <c r="L179"/>
      <c r="M179"/>
      <c r="N179"/>
      <c r="O179"/>
      <c r="P179"/>
      <c r="Q179"/>
      <c r="R179"/>
      <c r="S179"/>
      <c r="T179"/>
      <c r="U179"/>
      <c r="V179"/>
    </row>
    <row r="180" spans="1:22" x14ac:dyDescent="0.2">
      <c r="A180"/>
      <c r="B180"/>
      <c r="C180"/>
      <c r="H180" s="6"/>
      <c r="I180" s="6"/>
      <c r="J180" s="6"/>
      <c r="L180"/>
      <c r="M180"/>
      <c r="N180"/>
      <c r="O180"/>
      <c r="P180"/>
      <c r="Q180"/>
      <c r="R180"/>
      <c r="S180"/>
      <c r="T180"/>
      <c r="U180"/>
      <c r="V180"/>
    </row>
    <row r="181" spans="1:22" x14ac:dyDescent="0.2">
      <c r="A181"/>
      <c r="B181"/>
      <c r="C181"/>
      <c r="H181" s="6"/>
      <c r="I181" s="6"/>
      <c r="J181" s="6"/>
      <c r="L181"/>
      <c r="M181"/>
      <c r="N181"/>
      <c r="O181"/>
      <c r="P181"/>
      <c r="Q181"/>
      <c r="R181"/>
      <c r="S181"/>
      <c r="T181"/>
      <c r="U181"/>
      <c r="V181"/>
    </row>
    <row r="182" spans="1:22" x14ac:dyDescent="0.2">
      <c r="A182"/>
      <c r="B182"/>
      <c r="C182"/>
      <c r="H182" s="6"/>
      <c r="I182" s="6"/>
      <c r="J182" s="6"/>
      <c r="L182"/>
      <c r="M182"/>
      <c r="N182"/>
      <c r="O182"/>
      <c r="P182"/>
      <c r="Q182"/>
      <c r="R182"/>
      <c r="S182"/>
      <c r="T182"/>
      <c r="U182"/>
      <c r="V182"/>
    </row>
    <row r="183" spans="1:22" x14ac:dyDescent="0.2">
      <c r="A183"/>
      <c r="B183"/>
      <c r="C183"/>
      <c r="H183" s="6"/>
      <c r="I183" s="6"/>
      <c r="J183" s="6"/>
      <c r="L183"/>
      <c r="M183"/>
      <c r="N183"/>
      <c r="O183"/>
      <c r="P183"/>
      <c r="Q183"/>
      <c r="R183"/>
      <c r="S183"/>
      <c r="T183"/>
      <c r="U183"/>
      <c r="V183"/>
    </row>
    <row r="184" spans="1:22" x14ac:dyDescent="0.2">
      <c r="A184"/>
      <c r="H184" s="6"/>
      <c r="I184" s="6"/>
      <c r="J184" s="6"/>
      <c r="R184"/>
      <c r="S184"/>
      <c r="T184"/>
      <c r="U184"/>
      <c r="V184"/>
    </row>
    <row r="185" spans="1:22" x14ac:dyDescent="0.2">
      <c r="A185"/>
      <c r="H185" s="6"/>
      <c r="I185" s="6"/>
      <c r="J185" s="6"/>
      <c r="R185"/>
      <c r="S185"/>
      <c r="T185"/>
      <c r="U185"/>
      <c r="V185"/>
    </row>
    <row r="186" spans="1:22" x14ac:dyDescent="0.2">
      <c r="A186"/>
      <c r="H186" s="6"/>
      <c r="I186" s="6"/>
      <c r="J186" s="6"/>
      <c r="R186"/>
      <c r="S186"/>
      <c r="T186"/>
      <c r="U186"/>
      <c r="V186"/>
    </row>
    <row r="187" spans="1:22" x14ac:dyDescent="0.2">
      <c r="A187"/>
      <c r="H187" s="6"/>
      <c r="I187" s="6"/>
      <c r="J187" s="6"/>
      <c r="K187" s="6"/>
      <c r="R187"/>
      <c r="S187"/>
      <c r="T187"/>
      <c r="U187"/>
      <c r="V187"/>
    </row>
    <row r="188" spans="1:22" x14ac:dyDescent="0.2">
      <c r="A188"/>
      <c r="R188"/>
      <c r="S188"/>
      <c r="T188"/>
      <c r="U188"/>
      <c r="V188"/>
    </row>
    <row r="189" spans="1:22" x14ac:dyDescent="0.2">
      <c r="A189"/>
      <c r="R189"/>
      <c r="S189"/>
      <c r="T189"/>
      <c r="U189"/>
      <c r="V189"/>
    </row>
    <row r="190" spans="1:22" x14ac:dyDescent="0.2">
      <c r="A190"/>
      <c r="R190"/>
      <c r="S190"/>
      <c r="T190"/>
      <c r="U190"/>
      <c r="V190"/>
    </row>
    <row r="191" spans="1:22" x14ac:dyDescent="0.2">
      <c r="A191"/>
      <c r="R191"/>
      <c r="S191"/>
      <c r="T191"/>
      <c r="U191"/>
      <c r="V191"/>
    </row>
    <row r="192" spans="1:22" x14ac:dyDescent="0.2">
      <c r="A192"/>
      <c r="R192"/>
      <c r="S192"/>
      <c r="T192"/>
      <c r="U192"/>
      <c r="V192"/>
    </row>
    <row r="193" spans="1:22" x14ac:dyDescent="0.2">
      <c r="A193"/>
      <c r="R193"/>
      <c r="S193"/>
      <c r="T193"/>
      <c r="U193"/>
      <c r="V193"/>
    </row>
    <row r="194" spans="1:22" x14ac:dyDescent="0.2">
      <c r="A194"/>
      <c r="R194"/>
      <c r="S194"/>
      <c r="T194"/>
      <c r="U194"/>
      <c r="V194"/>
    </row>
    <row r="195" spans="1:22" customFormat="1" x14ac:dyDescent="0.2">
      <c r="K195" s="52"/>
    </row>
    <row r="196" spans="1:22" customFormat="1" x14ac:dyDescent="0.2">
      <c r="K196" s="52"/>
    </row>
  </sheetData>
  <mergeCells count="1">
    <mergeCell ref="U148:U151"/>
  </mergeCells>
  <pageMargins left="0.7" right="0.7" top="0.75" bottom="0.75" header="0.3" footer="0.3"/>
  <pageSetup paperSize="5" scale="37" orientation="portrait" r:id="rId1"/>
  <colBreaks count="3" manualBreakCount="3">
    <brk id="14" max="169" man="1"/>
    <brk id="21" max="169" man="1"/>
    <brk id="31" max="16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W67"/>
  <sheetViews>
    <sheetView view="pageBreakPreview" topLeftCell="C13" zoomScale="85" zoomScaleNormal="100" zoomScaleSheetLayoutView="85" workbookViewId="0">
      <selection activeCell="C22" sqref="C22"/>
    </sheetView>
  </sheetViews>
  <sheetFormatPr defaultRowHeight="12.75" x14ac:dyDescent="0.2"/>
  <cols>
    <col min="1" max="1" width="21.5703125" customWidth="1"/>
    <col min="2" max="5" width="18" style="1" customWidth="1"/>
    <col min="6" max="6" width="15.5703125" style="1" customWidth="1"/>
    <col min="7" max="7" width="15.5703125" style="6" customWidth="1"/>
    <col min="8" max="8" width="15" style="6" customWidth="1"/>
    <col min="9" max="9" width="14" style="6" customWidth="1"/>
    <col min="10" max="10" width="15" style="6" bestFit="1" customWidth="1"/>
    <col min="11" max="12" width="14.140625" style="6" customWidth="1"/>
    <col min="13" max="14" width="12.85546875" style="6" bestFit="1" customWidth="1"/>
    <col min="15" max="15" width="10.5703125" style="6" customWidth="1"/>
    <col min="16" max="17" width="16.7109375" customWidth="1"/>
    <col min="18" max="18" width="14.42578125" customWidth="1"/>
    <col min="19" max="19" width="12.5703125" bestFit="1" customWidth="1"/>
    <col min="20" max="20" width="11.5703125" bestFit="1" customWidth="1"/>
    <col min="21" max="21" width="14" customWidth="1"/>
    <col min="22" max="22" width="10.140625" bestFit="1" customWidth="1"/>
    <col min="23" max="23" width="12.5703125" style="6" bestFit="1" customWidth="1"/>
  </cols>
  <sheetData>
    <row r="1" spans="1:22" x14ac:dyDescent="0.2">
      <c r="P1" s="196" t="s">
        <v>155</v>
      </c>
      <c r="Q1" s="196"/>
      <c r="R1" s="196"/>
      <c r="S1" s="196"/>
      <c r="T1" s="196"/>
      <c r="U1" s="196"/>
      <c r="V1" s="196"/>
    </row>
    <row r="2" spans="1:22" ht="38.25" x14ac:dyDescent="0.2">
      <c r="B2" s="2" t="s">
        <v>4</v>
      </c>
      <c r="C2" s="2" t="s">
        <v>5</v>
      </c>
      <c r="D2" s="2" t="s">
        <v>15</v>
      </c>
      <c r="E2" s="2" t="s">
        <v>6</v>
      </c>
      <c r="F2" s="2" t="s">
        <v>0</v>
      </c>
      <c r="G2" s="7" t="s">
        <v>1</v>
      </c>
      <c r="H2" s="124" t="str">
        <f>Inputs!B4</f>
        <v>Residential</v>
      </c>
      <c r="I2" s="42" t="str">
        <f>Inputs!C4</f>
        <v>General Service &lt; 50 kW</v>
      </c>
      <c r="J2" s="42" t="str">
        <f>Inputs!D4</f>
        <v>General Service &gt;= 50 kW</v>
      </c>
      <c r="K2" s="42" t="str">
        <f>Inputs!E4</f>
        <v>Unmetered Scattered Load</v>
      </c>
      <c r="L2" s="42" t="str">
        <f>Inputs!F4</f>
        <v>Sentinel Lighting</v>
      </c>
      <c r="M2" s="42" t="str">
        <f>Inputs!G4</f>
        <v xml:space="preserve">Street Lighting </v>
      </c>
      <c r="N2" s="42" t="str">
        <f>Inputs!H4</f>
        <v>Embedded Distributor</v>
      </c>
      <c r="O2" s="149"/>
      <c r="P2" s="124" t="str">
        <f>H2</f>
        <v>Residential</v>
      </c>
      <c r="Q2" s="42" t="str">
        <f t="shared" ref="Q2:V2" si="0">I2</f>
        <v>General Service &lt; 50 kW</v>
      </c>
      <c r="R2" s="42" t="str">
        <f t="shared" si="0"/>
        <v>General Service &gt;= 50 kW</v>
      </c>
      <c r="S2" s="42" t="str">
        <f t="shared" si="0"/>
        <v>Unmetered Scattered Load</v>
      </c>
      <c r="T2" s="42" t="str">
        <f t="shared" si="0"/>
        <v>Sentinel Lighting</v>
      </c>
      <c r="U2" s="42" t="str">
        <f t="shared" si="0"/>
        <v xml:space="preserve">Street Lighting </v>
      </c>
      <c r="V2" s="42" t="str">
        <f t="shared" si="0"/>
        <v>Embedded Distributor</v>
      </c>
    </row>
    <row r="3" spans="1:22" x14ac:dyDescent="0.2">
      <c r="A3">
        <v>2016</v>
      </c>
      <c r="B3" s="55">
        <f>'Power Purchased Model'!D152</f>
        <v>488555532.25999981</v>
      </c>
      <c r="C3" s="55">
        <f>'Power Purchased Model'!T152</f>
        <v>477698237.8472172</v>
      </c>
      <c r="D3" s="21">
        <f>C3-B3</f>
        <v>-10857294.412782609</v>
      </c>
      <c r="E3" s="5">
        <f>D3/B3</f>
        <v>-2.2223255486552483E-2</v>
      </c>
      <c r="F3" s="15">
        <f>1 +(B3-G3)/G3</f>
        <v>1.0462340277500106</v>
      </c>
      <c r="G3" s="6">
        <f>SUM(H3:N3)</f>
        <v>466965821.50999999</v>
      </c>
      <c r="H3" s="35">
        <f>SUMIF(Inputs!A$24:A$143,'Rate Class Energy Model'!A3,Inputs!F$24:F$143)</f>
        <v>202182964.05000001</v>
      </c>
      <c r="I3" s="35">
        <f>SUMIF(Inputs!$A$24:$A$143,'Rate Class Energy Model'!A3,Inputs!$H$24:$H$143)</f>
        <v>69095397.390000001</v>
      </c>
      <c r="J3" s="35">
        <f>SUMIF(Inputs!$A$24:$A$143,'Rate Class Energy Model'!A3,Inputs!$J$24:$J$143)</f>
        <v>185839670.57999998</v>
      </c>
      <c r="K3" s="35">
        <f>SUMIF(Inputs!$A$24:$A$143,'Rate Class Energy Model'!A3,Inputs!$M$24:$M$143)</f>
        <v>1416419.3800000001</v>
      </c>
      <c r="L3" s="35">
        <f>SUMIF(Inputs!$A$24:$A$143,'Rate Class Energy Model'!A3,Inputs!$P$24:$P$143)</f>
        <v>667141.85</v>
      </c>
      <c r="M3" s="35">
        <f>SUMIF(Inputs!A$24:A$143,'Rate Class Energy Model'!A3,Inputs!S$24:S$143)</f>
        <v>2159285.8400000003</v>
      </c>
      <c r="N3" s="35">
        <f>SUMIF(Inputs!A$24:A$143,'Rate Class Energy Model'!A3,Inputs!V$24:V$143)</f>
        <v>5604942.4199999999</v>
      </c>
      <c r="P3" s="35">
        <f>H3*'Power Purchased Model'!$V152</f>
        <v>203734410.49347684</v>
      </c>
      <c r="Q3" s="35">
        <f>I3*'Power Purchased Model'!$V152</f>
        <v>69625599.373362079</v>
      </c>
      <c r="R3" s="35">
        <f>J3*'Power Purchased Model'!$V152</f>
        <v>187265707.12730742</v>
      </c>
      <c r="S3" s="35">
        <f>K3*'Power Purchased Model'!$V152</f>
        <v>1427288.2423687861</v>
      </c>
      <c r="T3" s="35">
        <f>L3*'Power Purchased Model'!$V152</f>
        <v>672261.14803453209</v>
      </c>
      <c r="U3" s="35">
        <f>M3*'Power Purchased Model'!$V152</f>
        <v>2175855.0715010748</v>
      </c>
      <c r="V3" s="35">
        <f>N3*'Power Purchased Model'!$V152</f>
        <v>5647951.8200464398</v>
      </c>
    </row>
    <row r="4" spans="1:22" x14ac:dyDescent="0.2">
      <c r="A4">
        <v>2017</v>
      </c>
      <c r="B4" s="55">
        <f>'Power Purchased Model'!D153</f>
        <v>476330269.50999999</v>
      </c>
      <c r="C4" s="55">
        <f>'Power Purchased Model'!T153</f>
        <v>477365337.37385362</v>
      </c>
      <c r="D4" s="21">
        <f t="shared" ref="D4:D12" si="1">C4-B4</f>
        <v>1035067.8638536334</v>
      </c>
      <c r="E4" s="5">
        <f t="shared" ref="E4:E12" si="2">D4/B4</f>
        <v>2.1730045938890379E-3</v>
      </c>
      <c r="F4" s="15">
        <f t="shared" ref="F4:F12" si="3">1 +(B4-G4)/G4</f>
        <v>1.0519679803002338</v>
      </c>
      <c r="G4" s="6">
        <f t="shared" ref="G4:G12" si="4">SUM(H4:N4)</f>
        <v>452799209.12997222</v>
      </c>
      <c r="H4" s="35">
        <f>SUMIF(Inputs!A$24:A$143,'Rate Class Energy Model'!A4,Inputs!F$24:F$143)</f>
        <v>192333396.59142745</v>
      </c>
      <c r="I4" s="35">
        <f>SUMIF(Inputs!$A$24:$A$143,'Rate Class Energy Model'!A4,Inputs!$H$24:$H$143)</f>
        <v>66385178.073323995</v>
      </c>
      <c r="J4" s="35">
        <f>SUMIF(Inputs!$A$24:$A$143,'Rate Class Energy Model'!A4,Inputs!$J$24:$J$143)</f>
        <v>185980426.04825354</v>
      </c>
      <c r="K4" s="35">
        <f>SUMIF(Inputs!$A$24:$A$143,'Rate Class Energy Model'!A4,Inputs!$M$24:$M$143)</f>
        <v>1308270.2299999995</v>
      </c>
      <c r="L4" s="35">
        <f>SUMIF(Inputs!$A$24:$A$143,'Rate Class Energy Model'!A4,Inputs!$P$24:$P$143)</f>
        <v>631149.96201329515</v>
      </c>
      <c r="M4" s="35">
        <f>SUMIF(Inputs!A$24:A$143,'Rate Class Energy Model'!A4,Inputs!S$24:S$143)</f>
        <v>1392668.2526115859</v>
      </c>
      <c r="N4" s="35">
        <f>SUMIF(Inputs!A$24:A$143,'Rate Class Energy Model'!A4,Inputs!V$24:V$143)</f>
        <v>4768119.9723423496</v>
      </c>
      <c r="P4" s="35">
        <f>H4*'Power Purchased Model'!$V153</f>
        <v>194484653.60283333</v>
      </c>
      <c r="Q4" s="35">
        <f>I4*'Power Purchased Model'!$V153</f>
        <v>67127699.041156948</v>
      </c>
      <c r="R4" s="35">
        <f>J4*'Power Purchased Model'!$V153</f>
        <v>188060624.82085916</v>
      </c>
      <c r="S4" s="35">
        <f>K4*'Power Purchased Model'!$V153</f>
        <v>1322903.2867388651</v>
      </c>
      <c r="T4" s="35">
        <f>L4*'Power Purchased Model'!$V153</f>
        <v>638209.40049403883</v>
      </c>
      <c r="U4" s="35">
        <f>M4*'Power Purchased Model'!$V153</f>
        <v>1408245.3047309192</v>
      </c>
      <c r="V4" s="35">
        <f>N4*'Power Purchased Model'!$V153</f>
        <v>4821451.5918297116</v>
      </c>
    </row>
    <row r="5" spans="1:22" x14ac:dyDescent="0.2">
      <c r="A5">
        <v>2018</v>
      </c>
      <c r="B5" s="55">
        <f>'Power Purchased Model'!D154</f>
        <v>499580482.79999995</v>
      </c>
      <c r="C5" s="55">
        <f>'Power Purchased Model'!T154</f>
        <v>494995328.74702567</v>
      </c>
      <c r="D5" s="21">
        <f t="shared" si="1"/>
        <v>-4585154.0529742837</v>
      </c>
      <c r="E5" s="5">
        <f t="shared" si="2"/>
        <v>-9.1780087710309644E-3</v>
      </c>
      <c r="F5" s="15">
        <f t="shared" si="3"/>
        <v>1.047828015495341</v>
      </c>
      <c r="G5" s="6">
        <f t="shared" si="4"/>
        <v>476777176.6093052</v>
      </c>
      <c r="H5" s="35">
        <f>SUMIF(Inputs!A$24:A$143,'Rate Class Energy Model'!A5,Inputs!F$24:F$143)</f>
        <v>213384791.97681683</v>
      </c>
      <c r="I5" s="35">
        <f>SUMIF(Inputs!$A$24:$A$143,'Rate Class Energy Model'!A5,Inputs!$H$24:$H$143)</f>
        <v>68552191.048737228</v>
      </c>
      <c r="J5" s="35">
        <f>SUMIF(Inputs!$A$24:$A$143,'Rate Class Energy Model'!A5,Inputs!$J$24:$J$143)</f>
        <v>186317853.54878309</v>
      </c>
      <c r="K5" s="35">
        <f>SUMIF(Inputs!$A$24:$A$143,'Rate Class Energy Model'!A5,Inputs!$M$24:$M$143)</f>
        <v>1307305.7299999995</v>
      </c>
      <c r="L5" s="35">
        <f>SUMIF(Inputs!$A$24:$A$143,'Rate Class Energy Model'!A5,Inputs!$P$24:$P$143)</f>
        <v>606042.11775878421</v>
      </c>
      <c r="M5" s="35">
        <f>SUMIF(Inputs!A$24:A$143,'Rate Class Energy Model'!A5,Inputs!S$24:S$143)</f>
        <v>1390046.9705603039</v>
      </c>
      <c r="N5" s="35">
        <f>SUMIF(Inputs!A$24:A$143,'Rate Class Energy Model'!A5,Inputs!V$24:V$143)</f>
        <v>5218945.2166489204</v>
      </c>
      <c r="P5" s="35">
        <f>H5*'Power Purchased Model'!$V154</f>
        <v>210341039.62673613</v>
      </c>
      <c r="Q5" s="35">
        <f>I5*'Power Purchased Model'!$V154</f>
        <v>67574352.418932512</v>
      </c>
      <c r="R5" s="35">
        <f>J5*'Power Purchased Model'!$V154</f>
        <v>183660188.02657139</v>
      </c>
      <c r="S5" s="35">
        <f>K5*'Power Purchased Model'!$V154</f>
        <v>1288658.1269955933</v>
      </c>
      <c r="T5" s="35">
        <f>L5*'Power Purchased Model'!$V154</f>
        <v>597397.44302312355</v>
      </c>
      <c r="U5" s="35">
        <f>M5*'Power Purchased Model'!$V154</f>
        <v>1370219.1342174723</v>
      </c>
      <c r="V5" s="35">
        <f>N5*'Power Purchased Model'!$V154</f>
        <v>5144501.4073176375</v>
      </c>
    </row>
    <row r="6" spans="1:22" x14ac:dyDescent="0.2">
      <c r="A6">
        <v>2019</v>
      </c>
      <c r="B6" s="55">
        <f>'Power Purchased Model'!D155</f>
        <v>489885593.67000008</v>
      </c>
      <c r="C6" s="55">
        <f>'Power Purchased Model'!T155</f>
        <v>500781454.6900506</v>
      </c>
      <c r="D6" s="21">
        <f t="shared" si="1"/>
        <v>10895861.020050526</v>
      </c>
      <c r="E6" s="5">
        <f t="shared" si="2"/>
        <v>2.224164409168208E-2</v>
      </c>
      <c r="F6" s="15">
        <f t="shared" si="3"/>
        <v>1.0460110370840161</v>
      </c>
      <c r="G6" s="6">
        <f t="shared" si="4"/>
        <v>468336926</v>
      </c>
      <c r="H6" s="35">
        <f>SUMIF(Inputs!A$24:A$143,'Rate Class Energy Model'!A6,Inputs!F$24:F$143)</f>
        <v>208333696</v>
      </c>
      <c r="I6" s="35">
        <f>SUMIF(Inputs!$A$24:$A$143,'Rate Class Energy Model'!A6,Inputs!$H$24:$H$143)</f>
        <v>68296620</v>
      </c>
      <c r="J6" s="35">
        <f>SUMIF(Inputs!$A$24:$A$143,'Rate Class Energy Model'!A6,Inputs!$J$24:$J$143)</f>
        <v>183204908</v>
      </c>
      <c r="K6" s="35">
        <f>SUMIF(Inputs!$A$24:$A$143,'Rate Class Energy Model'!A6,Inputs!$M$24:$M$143)</f>
        <v>1299487</v>
      </c>
      <c r="L6" s="35">
        <f>SUMIF(Inputs!$A$24:$A$143,'Rate Class Energy Model'!A6,Inputs!$P$24:$P$143)</f>
        <v>565913</v>
      </c>
      <c r="M6" s="35">
        <f>SUMIF(Inputs!A$24:A$143,'Rate Class Energy Model'!A6,Inputs!S$24:S$143)</f>
        <v>1401778</v>
      </c>
      <c r="N6" s="35">
        <f>SUMIF(Inputs!A$24:A$143,'Rate Class Energy Model'!A6,Inputs!V$24:V$143)</f>
        <v>5234524</v>
      </c>
      <c r="P6" s="35">
        <f>H6*'Power Purchased Model'!$V155</f>
        <v>203946533.96386492</v>
      </c>
      <c r="Q6" s="35">
        <f>I6*'Power Purchased Model'!$V155</f>
        <v>66858406.479032442</v>
      </c>
      <c r="R6" s="35">
        <f>J6*'Power Purchased Model'!$V155</f>
        <v>179346916.55337766</v>
      </c>
      <c r="S6" s="35">
        <f>K6*'Power Purchased Model'!$V155</f>
        <v>1272121.9594793774</v>
      </c>
      <c r="T6" s="35">
        <f>L6*'Power Purchased Model'!$V155</f>
        <v>553995.81100453704</v>
      </c>
      <c r="U6" s="35">
        <f>M6*'Power Purchased Model'!$V155</f>
        <v>1372258.8807083739</v>
      </c>
      <c r="V6" s="35">
        <f>N6*'Power Purchased Model'!$V155</f>
        <v>5124293.6080328841</v>
      </c>
    </row>
    <row r="7" spans="1:22" x14ac:dyDescent="0.2">
      <c r="A7">
        <v>2020</v>
      </c>
      <c r="B7" s="55">
        <f>'Power Purchased Model'!D156</f>
        <v>482685186</v>
      </c>
      <c r="C7" s="55">
        <f>'Power Purchased Model'!T156</f>
        <v>491698954.50097716</v>
      </c>
      <c r="D7" s="21">
        <f t="shared" si="1"/>
        <v>9013768.5009771585</v>
      </c>
      <c r="E7" s="5">
        <f t="shared" si="2"/>
        <v>1.8674218232537922E-2</v>
      </c>
      <c r="F7" s="15">
        <f t="shared" si="3"/>
        <v>1.0456071781937182</v>
      </c>
      <c r="G7" s="6">
        <f t="shared" si="4"/>
        <v>461631476.96999991</v>
      </c>
      <c r="H7" s="35">
        <f>SUMIF(Inputs!A$24:A$143,'Rate Class Energy Model'!A7,Inputs!F$24:F$143)</f>
        <v>220200219.66</v>
      </c>
      <c r="I7" s="35">
        <f>SUMIF(Inputs!$A$24:$A$143,'Rate Class Energy Model'!A7,Inputs!$H$24:$H$143)</f>
        <v>63219121.670000002</v>
      </c>
      <c r="J7" s="35">
        <f>SUMIF(Inputs!$A$24:$A$143,'Rate Class Energy Model'!A7,Inputs!$J$24:$J$143)</f>
        <v>169630766.96000001</v>
      </c>
      <c r="K7" s="35">
        <f>SUMIF(Inputs!$A$24:$A$143,'Rate Class Energy Model'!A7,Inputs!$M$24:$M$143)</f>
        <v>1307649.58</v>
      </c>
      <c r="L7" s="35">
        <f>SUMIF(Inputs!$A$24:$A$143,'Rate Class Energy Model'!A7,Inputs!$P$24:$P$143)</f>
        <v>525914.77999999991</v>
      </c>
      <c r="M7" s="35">
        <f>SUMIF(Inputs!A$24:A$143,'Rate Class Energy Model'!A7,Inputs!S$24:S$143)</f>
        <v>1425844.32</v>
      </c>
      <c r="N7" s="35">
        <f>SUMIF(Inputs!A$24:A$143,'Rate Class Energy Model'!A7,Inputs!V$24:V$143)</f>
        <v>5321960</v>
      </c>
      <c r="P7" s="35">
        <f>H7*'Power Purchased Model'!$V156</f>
        <v>217214931.34860358</v>
      </c>
      <c r="Q7" s="35">
        <f>I7*'Power Purchased Model'!$V156</f>
        <v>62362050.295277476</v>
      </c>
      <c r="R7" s="35">
        <f>J7*'Power Purchased Model'!$V156</f>
        <v>167331056.5117507</v>
      </c>
      <c r="S7" s="35">
        <f>K7*'Power Purchased Model'!$V156</f>
        <v>1289921.5731315059</v>
      </c>
      <c r="T7" s="35">
        <f>L7*'Power Purchased Model'!$V156</f>
        <v>518784.8722826108</v>
      </c>
      <c r="U7" s="35">
        <f>M7*'Power Purchased Model'!$V156</f>
        <v>1406513.928827188</v>
      </c>
      <c r="V7" s="35">
        <f>N7*'Power Purchased Model'!$V156</f>
        <v>5249809.3681511739</v>
      </c>
    </row>
    <row r="8" spans="1:22" x14ac:dyDescent="0.2">
      <c r="A8">
        <v>2021</v>
      </c>
      <c r="B8" s="55">
        <f>'Power Purchased Model'!D157</f>
        <v>491981128.84560001</v>
      </c>
      <c r="C8" s="55">
        <f>'Power Purchased Model'!T157</f>
        <v>500574908.50121129</v>
      </c>
      <c r="D8" s="21">
        <f t="shared" si="1"/>
        <v>8593779.6556112766</v>
      </c>
      <c r="E8" s="5">
        <f t="shared" si="2"/>
        <v>1.7467701811604019E-2</v>
      </c>
      <c r="F8" s="15">
        <f t="shared" si="3"/>
        <v>1.0493178603727735</v>
      </c>
      <c r="G8" s="6">
        <f t="shared" si="4"/>
        <v>468858052.86000001</v>
      </c>
      <c r="H8" s="35">
        <f>SUMIF(Inputs!A$24:A$143,'Rate Class Energy Model'!A8,Inputs!F$24:F$143)</f>
        <v>223186490.06</v>
      </c>
      <c r="I8" s="35">
        <f>SUMIF(Inputs!$A$24:$A$143,'Rate Class Energy Model'!A8,Inputs!$H$24:$H$143)</f>
        <v>63093119.950000003</v>
      </c>
      <c r="J8" s="35">
        <f>SUMIF(Inputs!$A$24:$A$143,'Rate Class Energy Model'!A8,Inputs!$J$24:$J$143)</f>
        <v>173812299.56999999</v>
      </c>
      <c r="K8" s="35">
        <f>SUMIF(Inputs!$A$24:$A$143,'Rate Class Energy Model'!A8,Inputs!$M$24:$M$143)</f>
        <v>1288662.6200000001</v>
      </c>
      <c r="L8" s="35">
        <f>SUMIF(Inputs!$A$24:$A$143,'Rate Class Energy Model'!A8,Inputs!$P$24:$P$143)</f>
        <v>509735.7</v>
      </c>
      <c r="M8" s="35">
        <f>SUMIF(Inputs!A$24:A$143,'Rate Class Energy Model'!A8,Inputs!S$24:S$143)</f>
        <v>1423813.54</v>
      </c>
      <c r="N8" s="35">
        <f>SUMIF(Inputs!A$24:A$143,'Rate Class Energy Model'!A8,Inputs!V$24:V$143)</f>
        <v>5543931.4199999999</v>
      </c>
      <c r="P8" s="35">
        <f>H8*'Power Purchased Model'!$V157</f>
        <v>220255471.0483157</v>
      </c>
      <c r="Q8" s="35">
        <f>I8*'Power Purchased Model'!$V157</f>
        <v>62264543.21119196</v>
      </c>
      <c r="R8" s="35">
        <f>J8*'Power Purchased Model'!$V157</f>
        <v>171529692.07719305</v>
      </c>
      <c r="S8" s="35">
        <f>K8*'Power Purchased Model'!$V157</f>
        <v>1271739.128628047</v>
      </c>
      <c r="T8" s="35">
        <f>L8*'Power Purchased Model'!$V157</f>
        <v>503041.54468964692</v>
      </c>
      <c r="U8" s="35">
        <f>M8*'Power Purchased Model'!$V157</f>
        <v>1405115.165588038</v>
      </c>
      <c r="V8" s="35">
        <f>N8*'Power Purchased Model'!$V157</f>
        <v>5471125.183443631</v>
      </c>
    </row>
    <row r="9" spans="1:22" x14ac:dyDescent="0.2">
      <c r="A9">
        <v>2022</v>
      </c>
      <c r="B9" s="55">
        <f>'Power Purchased Model'!D158</f>
        <v>509139278.70600003</v>
      </c>
      <c r="C9" s="55">
        <f>'Power Purchased Model'!T158</f>
        <v>498699112.38918728</v>
      </c>
      <c r="D9" s="21">
        <f t="shared" si="1"/>
        <v>-10440166.316812754</v>
      </c>
      <c r="E9" s="5">
        <f t="shared" si="2"/>
        <v>-2.0505521285544691E-2</v>
      </c>
      <c r="F9" s="15">
        <f t="shared" si="3"/>
        <v>1.0541775557807622</v>
      </c>
      <c r="G9" s="6">
        <f t="shared" si="4"/>
        <v>482972982.97999996</v>
      </c>
      <c r="H9" s="35">
        <f>SUMIF(Inputs!A$24:A$143,'Rate Class Energy Model'!A9,Inputs!F$24:F$143)</f>
        <v>226316453.80000001</v>
      </c>
      <c r="I9" s="35">
        <f>SUMIF(Inputs!$A$24:$A$143,'Rate Class Energy Model'!A9,Inputs!$H$24:$H$143)</f>
        <v>67968059.879999995</v>
      </c>
      <c r="J9" s="35">
        <f>SUMIF(Inputs!$A$24:$A$143,'Rate Class Energy Model'!A9,Inputs!$J$24:$J$143)</f>
        <v>179949732.97</v>
      </c>
      <c r="K9" s="35">
        <f>SUMIF(Inputs!$A$24:$A$143,'Rate Class Energy Model'!A9,Inputs!$M$24:$M$143)</f>
        <v>1284000.5900000001</v>
      </c>
      <c r="L9" s="35">
        <f>SUMIF(Inputs!$A$24:$A$143,'Rate Class Energy Model'!A9,Inputs!$P$24:$P$143)</f>
        <v>499744.99</v>
      </c>
      <c r="M9" s="35">
        <f>SUMIF(Inputs!A$24:A$143,'Rate Class Energy Model'!A9,Inputs!S$24:S$143)</f>
        <v>1423716.0799999998</v>
      </c>
      <c r="N9" s="35">
        <f>SUMIF(Inputs!A$24:A$143,'Rate Class Energy Model'!A9,Inputs!V$24:V$143)</f>
        <v>5531274.6699999999</v>
      </c>
      <c r="P9" s="35">
        <f>H9*'Power Purchased Model'!$V158</f>
        <v>231266670.8045592</v>
      </c>
      <c r="Q9" s="35">
        <f>I9*'Power Purchased Model'!$V158</f>
        <v>69454724.41603151</v>
      </c>
      <c r="R9" s="35">
        <f>J9*'Power Purchased Model'!$V158</f>
        <v>183885771.26132631</v>
      </c>
      <c r="S9" s="35">
        <f>K9*'Power Purchased Model'!$V158</f>
        <v>1312085.5190794342</v>
      </c>
      <c r="T9" s="35">
        <f>L9*'Power Purchased Model'!$V158</f>
        <v>510675.90600678511</v>
      </c>
      <c r="U9" s="35">
        <f>M9*'Power Purchased Model'!$V158</f>
        <v>1454857.0042701748</v>
      </c>
      <c r="V9" s="35">
        <f>N9*'Power Purchased Model'!$V158</f>
        <v>5652260.172682534</v>
      </c>
    </row>
    <row r="10" spans="1:22" x14ac:dyDescent="0.2">
      <c r="A10" s="41">
        <v>2023</v>
      </c>
      <c r="B10" s="55">
        <f>'Power Purchased Model'!D159</f>
        <v>499577067.48000002</v>
      </c>
      <c r="C10" s="55">
        <f>'Power Purchased Model'!T159</f>
        <v>500158442.93097919</v>
      </c>
      <c r="D10" s="21">
        <f t="shared" si="1"/>
        <v>581375.45097917318</v>
      </c>
      <c r="E10" s="5">
        <f t="shared" si="2"/>
        <v>1.1637352649347698E-3</v>
      </c>
      <c r="F10" s="15">
        <f t="shared" si="3"/>
        <v>1.0475965299440775</v>
      </c>
      <c r="G10" s="6">
        <f t="shared" si="4"/>
        <v>476879269.06999999</v>
      </c>
      <c r="H10" s="35">
        <f>SUMIF(Inputs!A$24:A$143,'Rate Class Energy Model'!A10,Inputs!F$24:F$143)</f>
        <v>219776043.25999999</v>
      </c>
      <c r="I10" s="35">
        <f>SUMIF(Inputs!$A$24:$A$143,'Rate Class Energy Model'!A10,Inputs!$H$24:$H$143)</f>
        <v>66829175.539999999</v>
      </c>
      <c r="J10" s="35">
        <f>SUMIF(Inputs!$A$24:$A$143,'Rate Class Energy Model'!A10,Inputs!$J$24:$J$143)</f>
        <v>181546335.81</v>
      </c>
      <c r="K10" s="35">
        <f>SUMIF(Inputs!$A$24:$A$143,'Rate Class Energy Model'!A10,Inputs!$M$24:$M$143)</f>
        <v>1285502.0899999999</v>
      </c>
      <c r="L10" s="35">
        <f>SUMIF(Inputs!$A$24:$A$143,'Rate Class Energy Model'!A10,Inputs!$P$24:$P$143)</f>
        <v>492156.56</v>
      </c>
      <c r="M10" s="35">
        <f>SUMIF(Inputs!A$24:A$143,'Rate Class Energy Model'!A10,Inputs!S$24:S$143)</f>
        <v>1430413.7999999998</v>
      </c>
      <c r="N10" s="35">
        <f>SUMIF(Inputs!A$24:A$143,'Rate Class Energy Model'!A10,Inputs!V$24:V$143)</f>
        <v>5519642.0099999998</v>
      </c>
      <c r="P10" s="35">
        <f>H10*'Power Purchased Model'!$V159</f>
        <v>227095069.24933878</v>
      </c>
      <c r="Q10" s="35">
        <f>I10*'Power Purchased Model'!$V159</f>
        <v>69054734.183098778</v>
      </c>
      <c r="R10" s="35">
        <f>J10*'Power Purchased Model'!$V159</f>
        <v>187592228.39389136</v>
      </c>
      <c r="S10" s="35">
        <f>K10*'Power Purchased Model'!$V159</f>
        <v>1328312.1391140823</v>
      </c>
      <c r="T10" s="35">
        <f>L10*'Power Purchased Model'!$V159</f>
        <v>508546.45673320402</v>
      </c>
      <c r="U10" s="35">
        <f>M10*'Power Purchased Model'!$V159</f>
        <v>1478049.7280220706</v>
      </c>
      <c r="V10" s="35">
        <f>N10*'Power Purchased Model'!$V159</f>
        <v>5703458.2382102963</v>
      </c>
    </row>
    <row r="11" spans="1:22" x14ac:dyDescent="0.2">
      <c r="A11" s="41">
        <v>2024</v>
      </c>
      <c r="B11" s="55">
        <f>'Power Purchased Model'!D160</f>
        <v>513995694.87999994</v>
      </c>
      <c r="C11" s="55">
        <f>'Power Purchased Model'!T160</f>
        <v>517056368.30425441</v>
      </c>
      <c r="D11" s="21">
        <f t="shared" si="1"/>
        <v>3060673.424254477</v>
      </c>
      <c r="E11" s="5">
        <f t="shared" si="2"/>
        <v>5.954667431541499E-3</v>
      </c>
      <c r="F11" s="15">
        <f t="shared" si="3"/>
        <v>1.0510746507555282</v>
      </c>
      <c r="G11" s="6">
        <f t="shared" si="4"/>
        <v>489019209.53999996</v>
      </c>
      <c r="H11" s="35">
        <f>SUMIF(Inputs!A$24:A$143,'Rate Class Energy Model'!A11,Inputs!F$24:F$143)</f>
        <v>228623867.22</v>
      </c>
      <c r="I11" s="35">
        <f>SUMIF(Inputs!$A$24:$A$143,'Rate Class Energy Model'!A11,Inputs!$H$24:$H$143)</f>
        <v>67302263.310000002</v>
      </c>
      <c r="J11" s="35">
        <f>SUMIF(Inputs!$A$24:$A$143,'Rate Class Energy Model'!A11,Inputs!$J$24:$J$143)</f>
        <v>184252866.08999997</v>
      </c>
      <c r="K11" s="35">
        <f>SUMIF(Inputs!$A$24:$A$143,'Rate Class Energy Model'!A11,Inputs!$M$24:$M$143)</f>
        <v>1292091</v>
      </c>
      <c r="L11" s="35">
        <f>SUMIF(Inputs!$A$24:$A$143,'Rate Class Energy Model'!A11,Inputs!$P$24:$P$143)</f>
        <v>450678.16</v>
      </c>
      <c r="M11" s="35">
        <f>SUMIF(Inputs!A$24:A$143,'Rate Class Energy Model'!A11,Inputs!S$24:S$143)</f>
        <v>1456996.37</v>
      </c>
      <c r="N11" s="35">
        <f>SUMIF(Inputs!A$24:A$143,'Rate Class Energy Model'!A11,Inputs!V$24:V$143)</f>
        <v>5640447.3899999997</v>
      </c>
      <c r="P11" s="35">
        <f>H11*'Power Purchased Model'!$V160</f>
        <v>228169535.58650523</v>
      </c>
      <c r="Q11" s="35">
        <f>I11*'Power Purchased Model'!$V160</f>
        <v>67168517.224784404</v>
      </c>
      <c r="R11" s="35">
        <f>J11*'Power Purchased Model'!$V160</f>
        <v>183886710.50596288</v>
      </c>
      <c r="S11" s="35">
        <f>K11*'Power Purchased Model'!$V160</f>
        <v>1289523.2986405923</v>
      </c>
      <c r="T11" s="35">
        <f>L11*'Power Purchased Model'!$V160</f>
        <v>449782.55208686733</v>
      </c>
      <c r="U11" s="35">
        <f>M11*'Power Purchased Model'!$V160</f>
        <v>1454100.9612711247</v>
      </c>
      <c r="V11" s="35">
        <f>N11*'Power Purchased Model'!$V160</f>
        <v>5629238.439213274</v>
      </c>
    </row>
    <row r="12" spans="1:22" x14ac:dyDescent="0.2">
      <c r="A12" s="159">
        <v>2025</v>
      </c>
      <c r="B12" s="55">
        <f>'Power Purchased Model'!D161</f>
        <v>527446133.11000001</v>
      </c>
      <c r="C12" s="55">
        <f>'Power Purchased Model'!T161</f>
        <v>520148221.97684371</v>
      </c>
      <c r="D12" s="21">
        <f t="shared" si="1"/>
        <v>-7297911.1331562996</v>
      </c>
      <c r="E12" s="5">
        <f t="shared" si="2"/>
        <v>-1.3836315549656907E-2</v>
      </c>
      <c r="F12" s="15">
        <f t="shared" si="3"/>
        <v>1.0478788232239649</v>
      </c>
      <c r="G12" s="6">
        <f t="shared" si="4"/>
        <v>503346495.24381894</v>
      </c>
      <c r="H12" s="35">
        <f>SUMIF(Inputs!A$24:A$143,'Rate Class Energy Model'!A12,Inputs!F$24:F$143)</f>
        <v>239825021.94555604</v>
      </c>
      <c r="I12" s="35">
        <f>SUMIF(Inputs!$A$24:$A$143,'Rate Class Energy Model'!A12,Inputs!$H$24:$H$143)</f>
        <v>69410244.351478517</v>
      </c>
      <c r="J12" s="35">
        <f>SUMIF(Inputs!$A$24:$A$143,'Rate Class Energy Model'!A12,Inputs!$J$24:$J$143)</f>
        <v>185314016.59084186</v>
      </c>
      <c r="K12" s="35">
        <f>SUMIF(Inputs!$A$24:$A$143,'Rate Class Energy Model'!A12,Inputs!$M$24:$M$143)</f>
        <v>1294985</v>
      </c>
      <c r="L12" s="35">
        <f>SUMIF(Inputs!$A$24:$A$143,'Rate Class Energy Model'!A12,Inputs!$P$24:$P$143)</f>
        <v>427408.11085004313</v>
      </c>
      <c r="M12" s="35">
        <f>SUMIF(Inputs!A$24:A$143,'Rate Class Energy Model'!A12,Inputs!S$24:S$143)</f>
        <v>1437972.6529836564</v>
      </c>
      <c r="N12" s="35">
        <f>SUMIF(Inputs!A$24:A$143,'Rate Class Energy Model'!A12,Inputs!V$24:V$143)</f>
        <v>5636846.5921088494</v>
      </c>
      <c r="O12"/>
      <c r="P12" s="35">
        <f>H12*'Power Purchased Model'!$V161</f>
        <v>237659994.04514375</v>
      </c>
      <c r="Q12" s="35">
        <f>I12*'Power Purchased Model'!$V161</f>
        <v>68783641.195659772</v>
      </c>
      <c r="R12" s="35">
        <f>J12*'Power Purchased Model'!$V161</f>
        <v>183641088.49934471</v>
      </c>
      <c r="S12" s="35">
        <f>K12*'Power Purchased Model'!$V161</f>
        <v>1283294.4823347838</v>
      </c>
      <c r="T12" s="35">
        <f>L12*'Power Purchased Model'!$V161</f>
        <v>423549.67073672201</v>
      </c>
      <c r="U12" s="35">
        <f>M12*'Power Purchased Model'!$V161</f>
        <v>1424991.3098006826</v>
      </c>
      <c r="V12" s="35">
        <f>N12*'Power Purchased Model'!$V161</f>
        <v>5585959.7828707788</v>
      </c>
    </row>
    <row r="13" spans="1:22" x14ac:dyDescent="0.2">
      <c r="A13" s="41">
        <v>2026</v>
      </c>
      <c r="B13" s="6"/>
      <c r="C13" s="13">
        <f>'Power Purchased Model'!T162</f>
        <v>516339024.81672943</v>
      </c>
      <c r="G13" s="13">
        <f>C13/$F$16</f>
        <v>492328477.17528081</v>
      </c>
      <c r="H13"/>
      <c r="I13"/>
      <c r="J13"/>
      <c r="K13"/>
      <c r="L13"/>
      <c r="M13"/>
      <c r="N13"/>
      <c r="O13"/>
      <c r="P13" s="35">
        <f>H32*'Power Purchased Model'!$V162</f>
        <v>235465355.25120106</v>
      </c>
      <c r="Q13" s="35">
        <f>I32*'Power Purchased Model'!$V162</f>
        <v>67650959.229204848</v>
      </c>
      <c r="R13" s="35">
        <f>J32*'Power Purchased Model'!$V162</f>
        <v>180386227.05558756</v>
      </c>
      <c r="S13" s="35">
        <f>K32*'Power Purchased Model'!$V162</f>
        <v>1320802.0914659814</v>
      </c>
      <c r="T13" s="35">
        <f>L32*'Power Purchased Model'!$V162</f>
        <v>418499.31165490992</v>
      </c>
      <c r="U13" s="35">
        <f>M32*'Power Purchased Model'!$V162</f>
        <v>1449787.6440575817</v>
      </c>
      <c r="V13" s="35">
        <f>N32*'Power Purchased Model'!$V162</f>
        <v>5636846.5921088494</v>
      </c>
    </row>
    <row r="14" spans="1:22" x14ac:dyDescent="0.2">
      <c r="A14" s="41">
        <v>2027</v>
      </c>
      <c r="B14" s="6"/>
      <c r="C14" s="13">
        <f>'Power Purchased Model'!T163</f>
        <v>517274726.10392481</v>
      </c>
      <c r="G14" s="13">
        <f>C14/$F$16</f>
        <v>493220666.93370426</v>
      </c>
      <c r="H14"/>
      <c r="I14"/>
      <c r="J14"/>
      <c r="K14"/>
      <c r="L14"/>
      <c r="M14"/>
      <c r="N14"/>
      <c r="O14"/>
      <c r="P14" s="35">
        <f>H33*'Power Purchased Model'!$V163</f>
        <v>237403471.2198239</v>
      </c>
      <c r="Q14" s="35">
        <f>I33*'Power Purchased Model'!$V163</f>
        <v>67709852.535780728</v>
      </c>
      <c r="R14" s="35">
        <f>J33*'Power Purchased Model'!$V163</f>
        <v>179251886.79055846</v>
      </c>
      <c r="S14" s="35">
        <f>K33*'Power Purchased Model'!$V163</f>
        <v>1347133.8778602926</v>
      </c>
      <c r="T14" s="35">
        <f>L33*'Power Purchased Model'!$V163</f>
        <v>409776.20548029832</v>
      </c>
      <c r="U14" s="35">
        <f>M33*'Power Purchased Model'!$V163</f>
        <v>1461699.7120917588</v>
      </c>
      <c r="V14" s="35">
        <f>N33*'Power Purchased Model'!$V163</f>
        <v>5636846.5921088494</v>
      </c>
    </row>
    <row r="15" spans="1:22" x14ac:dyDescent="0.2">
      <c r="H15" s="31"/>
      <c r="I15" s="31"/>
      <c r="J15" s="31"/>
      <c r="K15" s="31"/>
      <c r="L15" s="31"/>
      <c r="M15" s="31"/>
      <c r="N15" s="31"/>
      <c r="O15" s="31"/>
    </row>
    <row r="16" spans="1:22" x14ac:dyDescent="0.2">
      <c r="A16" s="12" t="s">
        <v>9</v>
      </c>
      <c r="C16" s="32"/>
      <c r="D16" s="34"/>
      <c r="E16" s="48" t="s">
        <v>149</v>
      </c>
      <c r="F16" s="15">
        <f>AVERAGE(F3:F12)</f>
        <v>1.0487693658900423</v>
      </c>
      <c r="H16" s="184"/>
      <c r="I16" s="184"/>
      <c r="J16" s="184"/>
      <c r="K16" s="184"/>
      <c r="L16" s="184"/>
      <c r="M16" s="184"/>
      <c r="N16" s="184"/>
      <c r="O16" s="54"/>
    </row>
    <row r="17" spans="1:17" x14ac:dyDescent="0.2">
      <c r="C17" s="32"/>
      <c r="D17" s="34"/>
      <c r="E17" s="48"/>
      <c r="F17" s="15"/>
    </row>
    <row r="18" spans="1:17" x14ac:dyDescent="0.2">
      <c r="C18" s="32"/>
      <c r="D18" s="34"/>
    </row>
    <row r="19" spans="1:17" x14ac:dyDescent="0.2">
      <c r="A19" s="14" t="s">
        <v>11</v>
      </c>
      <c r="B19" s="10"/>
    </row>
    <row r="20" spans="1:17" x14ac:dyDescent="0.2">
      <c r="A20">
        <v>2025</v>
      </c>
      <c r="B20" s="153"/>
      <c r="H20" s="6">
        <f>H12/'Rate Class Customer Model'!B20</f>
        <v>8480.6754788488943</v>
      </c>
      <c r="I20" s="6">
        <f>I12/'Rate Class Customer Model'!C20</f>
        <v>27273.180486705674</v>
      </c>
      <c r="J20" s="6">
        <f>J12/'Rate Class Customer Model'!D20</f>
        <v>912876.93102551112</v>
      </c>
      <c r="K20" s="6">
        <f>K12/'Rate Class Customer Model'!E20</f>
        <v>30116.317064699513</v>
      </c>
      <c r="L20" s="6">
        <f>L12/'Rate Class Customer Model'!F20</f>
        <v>691.59884933822718</v>
      </c>
      <c r="M20" s="6">
        <f>M12/'Rate Class Customer Model'!G20</f>
        <v>233.62675132517725</v>
      </c>
      <c r="N20" s="6">
        <f>N12/'Rate Class Customer Model'!H20</f>
        <v>5636846.5921088494</v>
      </c>
    </row>
    <row r="21" spans="1:17" x14ac:dyDescent="0.2">
      <c r="A21">
        <v>2026</v>
      </c>
      <c r="H21" s="13">
        <f>H20</f>
        <v>8480.6754788488943</v>
      </c>
      <c r="I21" s="13">
        <f t="shared" ref="I21:N22" si="5">I20</f>
        <v>27273.180486705674</v>
      </c>
      <c r="J21" s="13">
        <f t="shared" si="5"/>
        <v>912876.93102551112</v>
      </c>
      <c r="K21" s="13">
        <f t="shared" si="5"/>
        <v>30116.317064699513</v>
      </c>
      <c r="L21" s="13">
        <f t="shared" si="5"/>
        <v>691.59884933822718</v>
      </c>
      <c r="M21" s="13">
        <f t="shared" si="5"/>
        <v>233.62675132517725</v>
      </c>
      <c r="N21" s="13">
        <f t="shared" si="5"/>
        <v>5636846.5921088494</v>
      </c>
    </row>
    <row r="22" spans="1:17" x14ac:dyDescent="0.2">
      <c r="A22">
        <v>2027</v>
      </c>
      <c r="H22" s="13">
        <f>H21</f>
        <v>8480.6754788488943</v>
      </c>
      <c r="I22" s="13">
        <f t="shared" si="5"/>
        <v>27273.180486705674</v>
      </c>
      <c r="J22" s="13">
        <f t="shared" si="5"/>
        <v>912876.93102551112</v>
      </c>
      <c r="K22" s="13">
        <f t="shared" si="5"/>
        <v>30116.317064699513</v>
      </c>
      <c r="L22" s="13">
        <f t="shared" si="5"/>
        <v>691.59884933822718</v>
      </c>
      <c r="M22" s="13">
        <f t="shared" si="5"/>
        <v>233.62675132517725</v>
      </c>
      <c r="N22" s="13">
        <f t="shared" si="5"/>
        <v>5636846.5921088494</v>
      </c>
    </row>
    <row r="24" spans="1:17" x14ac:dyDescent="0.2">
      <c r="H24"/>
      <c r="I24"/>
      <c r="J24"/>
      <c r="K24"/>
      <c r="L24"/>
      <c r="M24"/>
      <c r="N24"/>
      <c r="O24"/>
    </row>
    <row r="25" spans="1:17" x14ac:dyDescent="0.2">
      <c r="D25" s="6"/>
      <c r="H25" s="16"/>
      <c r="I25" s="16"/>
      <c r="J25" s="16"/>
      <c r="K25" s="16"/>
      <c r="L25" s="16"/>
      <c r="M25" s="16"/>
      <c r="N25" s="16"/>
      <c r="O25" s="16"/>
    </row>
    <row r="26" spans="1:17" x14ac:dyDescent="0.2">
      <c r="A26" s="12" t="s">
        <v>18</v>
      </c>
    </row>
    <row r="27" spans="1:17" x14ac:dyDescent="0.2">
      <c r="A27" s="39">
        <f>A21</f>
        <v>2026</v>
      </c>
      <c r="G27" s="6">
        <f>SUM(H27:N27)</f>
        <v>504810083.17542934</v>
      </c>
      <c r="H27" s="6">
        <f>H21*'Rate Class Customer Model'!B21</f>
        <v>242100360.65823856</v>
      </c>
      <c r="I27" s="6">
        <f>I21*'Rate Class Customer Model'!C21</f>
        <v>69557245.951504976</v>
      </c>
      <c r="J27" s="6">
        <f>J21*'Rate Class Customer Model'!D21</f>
        <v>184326540.92639846</v>
      </c>
      <c r="K27" s="6">
        <f>K21*'Rate Class Customer Model'!E21</f>
        <v>1320802.0914659814</v>
      </c>
      <c r="L27" s="6">
        <f>L21*'Rate Class Customer Model'!F21</f>
        <v>418499.31165490992</v>
      </c>
      <c r="M27" s="6">
        <f>M21*'Rate Class Customer Model'!G21</f>
        <v>1449787.6440575817</v>
      </c>
      <c r="N27" s="6">
        <f>N21*'Rate Class Customer Model'!H21</f>
        <v>5636846.5921088494</v>
      </c>
    </row>
    <row r="28" spans="1:17" x14ac:dyDescent="0.2">
      <c r="A28" s="39">
        <f>A22</f>
        <v>2027</v>
      </c>
      <c r="G28" s="6">
        <f>SUM(H28:N28)</f>
        <v>506301629.09000838</v>
      </c>
      <c r="H28" s="6">
        <f>H22*'Rate Class Customer Model'!B22</f>
        <v>244397286.63573372</v>
      </c>
      <c r="I28" s="6">
        <f>I22*'Rate Class Customer Model'!C22</f>
        <v>69704558.881229401</v>
      </c>
      <c r="J28" s="6">
        <f>J22*'Rate Class Customer Model'!D22</f>
        <v>183344327.18550408</v>
      </c>
      <c r="K28" s="6">
        <f>K22*'Rate Class Customer Model'!E22</f>
        <v>1347133.8778602926</v>
      </c>
      <c r="L28" s="6">
        <f>L22*'Rate Class Customer Model'!F22</f>
        <v>409776.20548029832</v>
      </c>
      <c r="M28" s="6">
        <f>M22*'Rate Class Customer Model'!G22</f>
        <v>1461699.7120917588</v>
      </c>
      <c r="N28" s="6">
        <f>N22*'Rate Class Customer Model'!H22</f>
        <v>5636846.5921088494</v>
      </c>
    </row>
    <row r="29" spans="1:17" x14ac:dyDescent="0.2">
      <c r="A29" s="39"/>
    </row>
    <row r="31" spans="1:17" x14ac:dyDescent="0.2">
      <c r="A31" s="12" t="s">
        <v>17</v>
      </c>
      <c r="Q31" s="6"/>
    </row>
    <row r="32" spans="1:17" x14ac:dyDescent="0.2">
      <c r="A32" s="39">
        <f>A21</f>
        <v>2026</v>
      </c>
      <c r="G32" s="13">
        <f>G13</f>
        <v>492328477.17528081</v>
      </c>
      <c r="H32" s="6">
        <f>H27+H42</f>
        <v>235465355.25120106</v>
      </c>
      <c r="I32" s="6">
        <f t="shared" ref="I32:N33" si="6">I27+I42</f>
        <v>67650959.229204848</v>
      </c>
      <c r="J32" s="6">
        <f t="shared" si="6"/>
        <v>180386227.05558756</v>
      </c>
      <c r="K32" s="6">
        <f t="shared" si="6"/>
        <v>1320802.0914659814</v>
      </c>
      <c r="L32" s="6">
        <f t="shared" si="6"/>
        <v>418499.31165490992</v>
      </c>
      <c r="M32" s="6">
        <f t="shared" si="6"/>
        <v>1449787.6440575817</v>
      </c>
      <c r="N32" s="6">
        <f t="shared" si="6"/>
        <v>5636846.5921088494</v>
      </c>
      <c r="P32" s="6">
        <f>SUM(H32:N32)</f>
        <v>492328477.17528081</v>
      </c>
      <c r="Q32" s="6">
        <f>P32-G32</f>
        <v>0</v>
      </c>
    </row>
    <row r="33" spans="1:18" x14ac:dyDescent="0.2">
      <c r="A33" s="39">
        <f>A22</f>
        <v>2027</v>
      </c>
      <c r="G33" s="13">
        <f>G14</f>
        <v>493220666.93370426</v>
      </c>
      <c r="H33" s="6">
        <f>H28+H43</f>
        <v>237403471.2198239</v>
      </c>
      <c r="I33" s="6">
        <f t="shared" si="6"/>
        <v>67709852.535780728</v>
      </c>
      <c r="J33" s="6">
        <f t="shared" si="6"/>
        <v>179251886.79055846</v>
      </c>
      <c r="K33" s="6">
        <f t="shared" si="6"/>
        <v>1347133.8778602926</v>
      </c>
      <c r="L33" s="6">
        <f t="shared" si="6"/>
        <v>409776.20548029832</v>
      </c>
      <c r="M33" s="6">
        <f t="shared" si="6"/>
        <v>1461699.7120917588</v>
      </c>
      <c r="N33" s="6">
        <f t="shared" si="6"/>
        <v>5636846.5921088494</v>
      </c>
      <c r="P33" s="6">
        <f>SUM(H33:N33)</f>
        <v>493220666.93370426</v>
      </c>
      <c r="Q33" s="6">
        <f t="shared" ref="Q33" si="7">P33-G33</f>
        <v>0</v>
      </c>
      <c r="R33" s="6"/>
    </row>
    <row r="34" spans="1:18" x14ac:dyDescent="0.2">
      <c r="A34" s="39"/>
      <c r="P34" s="6"/>
      <c r="Q34" s="6"/>
      <c r="R34" s="6"/>
    </row>
    <row r="35" spans="1:18" x14ac:dyDescent="0.2">
      <c r="Q35" s="6"/>
    </row>
    <row r="36" spans="1:18" x14ac:dyDescent="0.2">
      <c r="A36" t="s">
        <v>19</v>
      </c>
      <c r="H36" s="46">
        <f>(100%+J36)/2</f>
        <v>0.8196751441260105</v>
      </c>
      <c r="I36" s="47">
        <f>H36</f>
        <v>0.8196751441260105</v>
      </c>
      <c r="J36" s="179">
        <v>0.639350288252021</v>
      </c>
      <c r="K36" s="47">
        <v>0</v>
      </c>
      <c r="L36" s="47">
        <v>0</v>
      </c>
      <c r="M36" s="47">
        <v>0</v>
      </c>
      <c r="N36" s="47">
        <v>0</v>
      </c>
      <c r="O36" s="154"/>
    </row>
    <row r="37" spans="1:18" x14ac:dyDescent="0.2">
      <c r="A37">
        <f>A21</f>
        <v>2026</v>
      </c>
      <c r="G37" s="6">
        <f>G32-G27</f>
        <v>-12481606.000148535</v>
      </c>
      <c r="H37" s="6">
        <f t="shared" ref="H37:J38" si="8">H27*H$36</f>
        <v>198443648.01550081</v>
      </c>
      <c r="I37" s="6">
        <f t="shared" si="8"/>
        <v>57014345.600308202</v>
      </c>
      <c r="J37" s="6">
        <f t="shared" si="8"/>
        <v>117849227.0737908</v>
      </c>
      <c r="K37" s="6">
        <f t="shared" ref="K37:M37" si="9">K27*K$36</f>
        <v>0</v>
      </c>
      <c r="L37" s="6">
        <f t="shared" si="9"/>
        <v>0</v>
      </c>
      <c r="M37" s="6">
        <f t="shared" si="9"/>
        <v>0</v>
      </c>
      <c r="N37" s="6">
        <f t="shared" ref="N37" si="10">N27*N$36</f>
        <v>0</v>
      </c>
      <c r="P37" s="6">
        <f>SUM(H37:N37)</f>
        <v>373307220.68959981</v>
      </c>
    </row>
    <row r="38" spans="1:18" x14ac:dyDescent="0.2">
      <c r="A38">
        <f>A22</f>
        <v>2027</v>
      </c>
      <c r="G38" s="6">
        <f>G33-G28</f>
        <v>-13080962.156304121</v>
      </c>
      <c r="H38" s="6">
        <f t="shared" si="8"/>
        <v>200326381.14715093</v>
      </c>
      <c r="I38" s="6">
        <f t="shared" si="8"/>
        <v>57135094.347211696</v>
      </c>
      <c r="J38" s="6">
        <f t="shared" si="8"/>
        <v>117221248.43542488</v>
      </c>
      <c r="K38" s="6">
        <f>K28*K$36</f>
        <v>0</v>
      </c>
      <c r="L38" s="6">
        <f t="shared" ref="L38:N38" si="11">L28*L$36</f>
        <v>0</v>
      </c>
      <c r="M38" s="6">
        <f t="shared" si="11"/>
        <v>0</v>
      </c>
      <c r="N38" s="6">
        <f t="shared" si="11"/>
        <v>0</v>
      </c>
      <c r="P38" s="6">
        <f>SUM(H38:N38)</f>
        <v>374682723.92978752</v>
      </c>
    </row>
    <row r="39" spans="1:18" x14ac:dyDescent="0.2">
      <c r="A39" s="39"/>
      <c r="P39" s="6"/>
    </row>
    <row r="40" spans="1:18" ht="12" customHeight="1" x14ac:dyDescent="0.2"/>
    <row r="41" spans="1:18" x14ac:dyDescent="0.2">
      <c r="A41" t="s">
        <v>20</v>
      </c>
    </row>
    <row r="42" spans="1:18" x14ac:dyDescent="0.2">
      <c r="A42">
        <f>A21</f>
        <v>2026</v>
      </c>
      <c r="G42" s="6">
        <f>SUM(H42:O42)</f>
        <v>-12481606.000148535</v>
      </c>
      <c r="H42" s="6">
        <f>H37/$P$37*$G$37</f>
        <v>-6635005.4070375068</v>
      </c>
      <c r="I42" s="6">
        <f>I37/$P$37*$G$37</f>
        <v>-1906286.7223001316</v>
      </c>
      <c r="J42" s="6">
        <f>J37/$P$37*$G$37</f>
        <v>-3940313.8708108962</v>
      </c>
      <c r="K42" s="6">
        <f>K37/$P$37*$G$37</f>
        <v>0</v>
      </c>
      <c r="L42" s="6">
        <f t="shared" ref="L42:N42" si="12">L37/$P$37*$G$37</f>
        <v>0</v>
      </c>
      <c r="M42" s="6">
        <f t="shared" si="12"/>
        <v>0</v>
      </c>
      <c r="N42" s="6">
        <f t="shared" si="12"/>
        <v>0</v>
      </c>
    </row>
    <row r="43" spans="1:18" x14ac:dyDescent="0.2">
      <c r="A43">
        <f>A22</f>
        <v>2027</v>
      </c>
      <c r="G43" s="6">
        <f>SUM(H43:O43)</f>
        <v>-13080962.156304121</v>
      </c>
      <c r="H43" s="6">
        <f>H38/$P$38*$G$38</f>
        <v>-6993815.4159098351</v>
      </c>
      <c r="I43" s="6">
        <f>I38/$P$38*$G$38</f>
        <v>-1994706.345448676</v>
      </c>
      <c r="J43" s="6">
        <f>J38/$P$38*$G$38</f>
        <v>-4092440.3949456098</v>
      </c>
      <c r="K43" s="6">
        <f>K38/$P$38*$G$38</f>
        <v>0</v>
      </c>
      <c r="L43" s="6">
        <f t="shared" ref="L43:N43" si="13">L38/$P$38*$G$38</f>
        <v>0</v>
      </c>
      <c r="M43" s="6">
        <f t="shared" si="13"/>
        <v>0</v>
      </c>
      <c r="N43" s="6">
        <f t="shared" si="13"/>
        <v>0</v>
      </c>
    </row>
    <row r="44" spans="1:18" x14ac:dyDescent="0.2">
      <c r="A44" s="39"/>
    </row>
    <row r="45" spans="1:18" x14ac:dyDescent="0.2">
      <c r="G45" s="17"/>
    </row>
    <row r="46" spans="1:18" x14ac:dyDescent="0.2">
      <c r="A46" s="12"/>
    </row>
    <row r="47" spans="1:18" x14ac:dyDescent="0.2">
      <c r="A47" s="12"/>
      <c r="J47" s="6">
        <f>J33</f>
        <v>179251886.79055846</v>
      </c>
      <c r="K47" s="6">
        <f>K33</f>
        <v>1347133.8778602926</v>
      </c>
      <c r="L47" s="6">
        <f>SUM(J47:K47)</f>
        <v>180599020.66841874</v>
      </c>
    </row>
    <row r="48" spans="1:18" x14ac:dyDescent="0.2">
      <c r="A48" s="12"/>
      <c r="J48" s="6">
        <f>J38</f>
        <v>117221248.43542488</v>
      </c>
      <c r="K48" s="6">
        <f>K38</f>
        <v>0</v>
      </c>
      <c r="L48" s="6">
        <f>SUM(J48:K48)</f>
        <v>117221248.43542488</v>
      </c>
    </row>
    <row r="49" spans="2:23" x14ac:dyDescent="0.2">
      <c r="L49" s="54">
        <f>L48/L47</f>
        <v>0.64906912563299024</v>
      </c>
    </row>
    <row r="50" spans="2:23" x14ac:dyDescent="0.2"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W50"/>
    </row>
    <row r="51" spans="2:23" x14ac:dyDescent="0.2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W51"/>
    </row>
    <row r="52" spans="2:23" x14ac:dyDescent="0.2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W52"/>
    </row>
    <row r="53" spans="2:23" x14ac:dyDescent="0.2"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W53"/>
    </row>
    <row r="56" spans="2:23" x14ac:dyDescent="0.2"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W56"/>
    </row>
    <row r="57" spans="2:23" x14ac:dyDescent="0.2"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W57"/>
    </row>
    <row r="58" spans="2:23" x14ac:dyDescent="0.2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W58"/>
    </row>
    <row r="59" spans="2:23" x14ac:dyDescent="0.2"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W59"/>
    </row>
    <row r="60" spans="2:23" x14ac:dyDescent="0.2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W60"/>
    </row>
    <row r="61" spans="2:23" x14ac:dyDescent="0.2"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W61"/>
    </row>
    <row r="62" spans="2:23" x14ac:dyDescent="0.2"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W62"/>
    </row>
    <row r="63" spans="2:23" x14ac:dyDescent="0.2"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W63"/>
    </row>
    <row r="64" spans="2:23" x14ac:dyDescent="0.2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W64"/>
    </row>
    <row r="65" customFormat="1" x14ac:dyDescent="0.2"/>
    <row r="66" customFormat="1" x14ac:dyDescent="0.2"/>
    <row r="67" customFormat="1" x14ac:dyDescent="0.2"/>
  </sheetData>
  <mergeCells count="1">
    <mergeCell ref="P1:V1"/>
  </mergeCells>
  <phoneticPr fontId="0" type="noConversion"/>
  <pageMargins left="0.7" right="0.7" top="0.75" bottom="0.75" header="0.3" footer="0.3"/>
  <pageSetup paperSize="5" scale="3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R90"/>
  <sheetViews>
    <sheetView view="pageBreakPreview" zoomScale="85" zoomScaleNormal="85" zoomScaleSheetLayoutView="85" workbookViewId="0">
      <selection activeCell="C22" sqref="C22"/>
    </sheetView>
  </sheetViews>
  <sheetFormatPr defaultRowHeight="12.75" x14ac:dyDescent="0.2"/>
  <cols>
    <col min="1" max="1" width="11" customWidth="1"/>
    <col min="2" max="2" width="15" style="6" customWidth="1"/>
    <col min="3" max="3" width="14.140625" style="6" bestFit="1" customWidth="1"/>
    <col min="4" max="4" width="17.7109375" style="6" bestFit="1" customWidth="1"/>
    <col min="5" max="6" width="17.7109375" style="6" customWidth="1"/>
    <col min="7" max="7" width="12.5703125" style="6" customWidth="1"/>
    <col min="8" max="8" width="11.42578125" style="6" customWidth="1"/>
    <col min="9" max="9" width="11.5703125" customWidth="1"/>
    <col min="10" max="10" width="12.5703125" bestFit="1" customWidth="1"/>
    <col min="11" max="11" width="12.5703125" customWidth="1"/>
    <col min="12" max="12" width="12.5703125" bestFit="1" customWidth="1"/>
    <col min="13" max="13" width="8.5703125" customWidth="1"/>
    <col min="14" max="16" width="11.5703125" customWidth="1"/>
    <col min="17" max="17" width="10.5703125" bestFit="1" customWidth="1"/>
    <col min="18" max="19" width="9.140625" customWidth="1"/>
  </cols>
  <sheetData>
    <row r="1" spans="1:18" x14ac:dyDescent="0.2">
      <c r="B1" s="185" t="s">
        <v>36</v>
      </c>
      <c r="C1" s="186"/>
      <c r="D1" s="186"/>
      <c r="E1" s="186"/>
      <c r="F1" s="186"/>
      <c r="G1" s="186"/>
      <c r="H1" s="186"/>
      <c r="K1" s="145"/>
    </row>
    <row r="2" spans="1:18" ht="25.5" x14ac:dyDescent="0.2">
      <c r="B2" s="9" t="str">
        <f>'Rate Class Energy Model'!H2</f>
        <v>Residential</v>
      </c>
      <c r="C2" s="9" t="str">
        <f>'Rate Class Energy Model'!I2</f>
        <v>General Service &lt; 50 kW</v>
      </c>
      <c r="D2" s="9" t="str">
        <f>'Rate Class Energy Model'!J2</f>
        <v>General Service &gt;= 50 kW</v>
      </c>
      <c r="E2" s="9" t="str">
        <f>'Rate Class Energy Model'!K2</f>
        <v>Unmetered Scattered Load</v>
      </c>
      <c r="F2" s="9" t="str">
        <f>'Rate Class Energy Model'!L2</f>
        <v>Sentinel Lighting</v>
      </c>
      <c r="G2" s="9" t="str">
        <f>'Rate Class Energy Model'!M2</f>
        <v xml:space="preserve">Street Lighting </v>
      </c>
      <c r="H2" s="9" t="str">
        <f>'Rate Class Energy Model'!N2</f>
        <v>Embedded Distributor</v>
      </c>
      <c r="I2" s="1" t="s">
        <v>7</v>
      </c>
      <c r="K2" s="88" t="s">
        <v>79</v>
      </c>
      <c r="N2" s="39" t="s">
        <v>150</v>
      </c>
      <c r="P2" s="100">
        <v>2026</v>
      </c>
      <c r="Q2" s="100">
        <v>2027</v>
      </c>
      <c r="R2" s="151"/>
    </row>
    <row r="3" spans="1:18" hidden="1" x14ac:dyDescent="0.2">
      <c r="A3" s="4"/>
      <c r="B3" s="23"/>
      <c r="C3" s="23"/>
      <c r="D3" s="23"/>
      <c r="E3" s="23"/>
      <c r="F3" s="23"/>
      <c r="G3" s="23"/>
      <c r="H3" s="23"/>
    </row>
    <row r="4" spans="1:18" hidden="1" x14ac:dyDescent="0.2">
      <c r="A4" s="4">
        <v>2000</v>
      </c>
      <c r="B4" s="22"/>
      <c r="C4" s="22"/>
      <c r="D4" s="22"/>
      <c r="E4" s="22"/>
      <c r="F4" s="22"/>
      <c r="G4" s="22"/>
      <c r="H4" s="22"/>
    </row>
    <row r="5" spans="1:18" hidden="1" x14ac:dyDescent="0.2">
      <c r="A5" s="4">
        <v>2001</v>
      </c>
      <c r="B5" s="23" t="e">
        <f>(#REF!+#REF!)/2</f>
        <v>#REF!</v>
      </c>
      <c r="C5" s="23" t="e">
        <f>(#REF!+#REF!)/2</f>
        <v>#REF!</v>
      </c>
      <c r="D5" s="23" t="e">
        <f>(#REF!+#REF!)/2</f>
        <v>#REF!</v>
      </c>
      <c r="E5" s="23"/>
      <c r="F5" s="23"/>
      <c r="G5" s="23" t="e">
        <f>(#REF!+#REF!)/2</f>
        <v>#REF!</v>
      </c>
      <c r="H5" s="23" t="e">
        <f>(#REF!+#REF!)/2</f>
        <v>#REF!</v>
      </c>
    </row>
    <row r="6" spans="1:18" hidden="1" x14ac:dyDescent="0.2">
      <c r="A6" s="4">
        <v>2002</v>
      </c>
      <c r="B6" s="23" t="e">
        <f>(#REF!+#REF!)/2</f>
        <v>#REF!</v>
      </c>
      <c r="C6" s="23" t="e">
        <f>(#REF!+#REF!)/2</f>
        <v>#REF!</v>
      </c>
      <c r="D6" s="23" t="e">
        <f>(#REF!+#REF!)/2</f>
        <v>#REF!</v>
      </c>
      <c r="E6" s="23"/>
      <c r="F6" s="23"/>
      <c r="G6" s="23" t="e">
        <f>(#REF!+#REF!)/2</f>
        <v>#REF!</v>
      </c>
      <c r="H6" s="23">
        <v>0</v>
      </c>
    </row>
    <row r="7" spans="1:18" hidden="1" x14ac:dyDescent="0.2">
      <c r="A7" s="4">
        <v>2003</v>
      </c>
      <c r="B7" s="23" t="e">
        <f>(#REF!+#REF!)/2</f>
        <v>#REF!</v>
      </c>
      <c r="C7" s="23" t="e">
        <f>(#REF!+#REF!)/2</f>
        <v>#REF!</v>
      </c>
      <c r="D7" s="23" t="e">
        <f>(#REF!+#REF!)/2</f>
        <v>#REF!</v>
      </c>
      <c r="E7" s="23"/>
      <c r="F7" s="23"/>
      <c r="G7" s="23" t="e">
        <f>(#REF!+#REF!)/2</f>
        <v>#REF!</v>
      </c>
      <c r="H7" s="23" t="e">
        <f>(#REF!+#REF!)/2</f>
        <v>#REF!</v>
      </c>
    </row>
    <row r="8" spans="1:18" hidden="1" x14ac:dyDescent="0.2">
      <c r="A8" s="4">
        <v>2004</v>
      </c>
      <c r="B8" s="23" t="e">
        <f>(#REF!+#REF!)/2</f>
        <v>#REF!</v>
      </c>
      <c r="C8" s="23" t="e">
        <f>(#REF!+#REF!)/2</f>
        <v>#REF!</v>
      </c>
      <c r="D8" s="23" t="e">
        <f>(#REF!+#REF!)/2</f>
        <v>#REF!</v>
      </c>
      <c r="E8" s="23"/>
      <c r="F8" s="23"/>
      <c r="G8" s="23" t="e">
        <f>(#REF!+#REF!)/2</f>
        <v>#REF!</v>
      </c>
      <c r="H8" s="23" t="e">
        <f>(#REF!+#REF!)/2</f>
        <v>#REF!</v>
      </c>
    </row>
    <row r="9" spans="1:18" hidden="1" x14ac:dyDescent="0.2">
      <c r="A9" s="4">
        <v>2005</v>
      </c>
      <c r="B9" s="23" t="e">
        <f>(#REF!+#REF!)/2</f>
        <v>#REF!</v>
      </c>
      <c r="C9" s="23" t="e">
        <f>(#REF!+#REF!)/2</f>
        <v>#REF!</v>
      </c>
      <c r="D9" s="23" t="e">
        <f>(#REF!+#REF!)/2</f>
        <v>#REF!</v>
      </c>
      <c r="E9" s="23"/>
      <c r="F9" s="23"/>
      <c r="G9" s="23" t="e">
        <f>(#REF!+#REF!)/2</f>
        <v>#REF!</v>
      </c>
      <c r="H9" s="23" t="e">
        <f>(#REF!+#REF!)/2</f>
        <v>#REF!</v>
      </c>
    </row>
    <row r="10" spans="1:18" hidden="1" x14ac:dyDescent="0.2">
      <c r="A10" s="4">
        <v>2006</v>
      </c>
      <c r="B10" s="23" t="e">
        <f>(#REF!+#REF!)/2</f>
        <v>#REF!</v>
      </c>
      <c r="C10" s="23" t="e">
        <f>(#REF!+#REF!)/2</f>
        <v>#REF!</v>
      </c>
      <c r="D10" s="23" t="e">
        <f>(#REF!+#REF!)/2</f>
        <v>#REF!</v>
      </c>
      <c r="E10" s="23"/>
      <c r="F10" s="23"/>
      <c r="G10" s="23">
        <v>1</v>
      </c>
      <c r="H10" s="23" t="e">
        <f>(#REF!+#REF!)/2</f>
        <v>#REF!</v>
      </c>
    </row>
    <row r="11" spans="1:18" x14ac:dyDescent="0.2">
      <c r="A11" s="4">
        <v>2016</v>
      </c>
      <c r="B11" s="36">
        <f>Inputs!B5</f>
        <v>25975.00000281772</v>
      </c>
      <c r="C11" s="36">
        <f>Inputs!C5</f>
        <v>2497.0000002302422</v>
      </c>
      <c r="D11" s="36">
        <f>Inputs!D5</f>
        <v>212.99999918317701</v>
      </c>
      <c r="E11" s="36">
        <f>Inputs!E5</f>
        <v>36.000272421901862</v>
      </c>
      <c r="F11" s="36">
        <f>Inputs!F5</f>
        <v>746.9999973879153</v>
      </c>
      <c r="G11" s="36">
        <f>Inputs!G5</f>
        <v>5718.0000013756717</v>
      </c>
      <c r="H11" s="36">
        <f>Inputs!H5</f>
        <v>1</v>
      </c>
      <c r="I11" s="45">
        <f>SUM(B11:H11)</f>
        <v>35187.000273416626</v>
      </c>
      <c r="K11" s="6">
        <f>B11+C11+D11+H11</f>
        <v>28686.00000223114</v>
      </c>
      <c r="L11" s="6"/>
      <c r="N11" s="125">
        <f>Inputs!C143</f>
        <v>31123.780639708813</v>
      </c>
      <c r="P11" s="102">
        <v>8.7320087713284539E-4</v>
      </c>
      <c r="Q11" s="102">
        <v>6.077419445503602E-4</v>
      </c>
    </row>
    <row r="12" spans="1:18" x14ac:dyDescent="0.2">
      <c r="A12" s="4">
        <v>2017</v>
      </c>
      <c r="B12" s="36">
        <f>Inputs!B6</f>
        <v>26129.000009853564</v>
      </c>
      <c r="C12" s="36">
        <f>Inputs!C6</f>
        <v>2505.0000001524254</v>
      </c>
      <c r="D12" s="36">
        <f>Inputs!D6</f>
        <v>201.99999917716119</v>
      </c>
      <c r="E12" s="36">
        <f>Inputs!E6</f>
        <v>42.999733209025841</v>
      </c>
      <c r="F12" s="36">
        <f>Inputs!F6</f>
        <v>718.99999713373836</v>
      </c>
      <c r="G12" s="36">
        <f>Inputs!G6</f>
        <v>5739.0000001301232</v>
      </c>
      <c r="H12" s="36">
        <f>Inputs!H6</f>
        <v>1</v>
      </c>
      <c r="I12" s="45">
        <f t="shared" ref="I12:I22" si="0">SUM(B12:H12)</f>
        <v>35337.999739656036</v>
      </c>
      <c r="K12" s="6">
        <f t="shared" ref="K12:K20" si="1">B12+C12+D12+H12</f>
        <v>28837.00000918315</v>
      </c>
      <c r="L12" s="6"/>
      <c r="O12" s="101" t="s">
        <v>65</v>
      </c>
      <c r="P12" s="99">
        <f>N11*(1+$P$11)</f>
        <v>31150.957952263096</v>
      </c>
      <c r="Q12" s="99">
        <f>P23*(1+$Q$11)</f>
        <v>31470.593604052097</v>
      </c>
      <c r="R12" s="99"/>
    </row>
    <row r="13" spans="1:18" x14ac:dyDescent="0.2">
      <c r="A13" s="4">
        <v>2018</v>
      </c>
      <c r="B13" s="36">
        <f>Inputs!B7</f>
        <v>26347.000013108871</v>
      </c>
      <c r="C13" s="36">
        <f>Inputs!C7</f>
        <v>2498.9999991697982</v>
      </c>
      <c r="D13" s="36">
        <f>Inputs!D7</f>
        <v>197.99933726277015</v>
      </c>
      <c r="E13" s="36">
        <f>Inputs!E7</f>
        <v>49.000610312266637</v>
      </c>
      <c r="F13" s="36">
        <f>Inputs!F7</f>
        <v>702.00018067538122</v>
      </c>
      <c r="G13" s="36">
        <f>Inputs!G7</f>
        <v>5759.0000009844471</v>
      </c>
      <c r="H13" s="36">
        <f>Inputs!H7</f>
        <v>1</v>
      </c>
      <c r="I13" s="45">
        <f t="shared" si="0"/>
        <v>35555.000141513534</v>
      </c>
      <c r="K13" s="6">
        <f t="shared" si="1"/>
        <v>29044.999349541438</v>
      </c>
      <c r="L13" s="6"/>
      <c r="O13" s="101" t="s">
        <v>66</v>
      </c>
      <c r="P13" s="99">
        <f>P12*(1+$P$11)</f>
        <v>31178.158996070539</v>
      </c>
      <c r="Q13" s="99">
        <f>Q12*(1+$Q$11)</f>
        <v>31489.719603805173</v>
      </c>
      <c r="R13" s="99"/>
    </row>
    <row r="14" spans="1:18" x14ac:dyDescent="0.2">
      <c r="A14" s="4">
        <v>2019</v>
      </c>
      <c r="B14" s="36">
        <f>Inputs!B8</f>
        <v>26619.000020449614</v>
      </c>
      <c r="C14" s="36">
        <f>Inputs!C8</f>
        <v>2492.0000000078071</v>
      </c>
      <c r="D14" s="36">
        <f>Inputs!D8</f>
        <v>192.99999922121364</v>
      </c>
      <c r="E14" s="36">
        <f>Inputs!E8</f>
        <v>47.000576596160109</v>
      </c>
      <c r="F14" s="36">
        <f>Inputs!F8</f>
        <v>671.99999830239233</v>
      </c>
      <c r="G14" s="36">
        <f>Inputs!G8</f>
        <v>5862.0000169233763</v>
      </c>
      <c r="H14" s="36">
        <f>Inputs!H8</f>
        <v>1</v>
      </c>
      <c r="I14" s="45">
        <f t="shared" si="0"/>
        <v>35886.000611500567</v>
      </c>
      <c r="K14" s="6">
        <f t="shared" si="1"/>
        <v>29305.000019678635</v>
      </c>
      <c r="L14" s="6"/>
      <c r="O14" s="101" t="s">
        <v>67</v>
      </c>
      <c r="P14" s="99">
        <f>P13*(1+$P$11)</f>
        <v>31205.383791853295</v>
      </c>
      <c r="Q14" s="99">
        <f>Q13*(1+$Q$11)</f>
        <v>31508.857227230532</v>
      </c>
      <c r="R14" s="99"/>
    </row>
    <row r="15" spans="1:18" x14ac:dyDescent="0.2">
      <c r="A15" s="4">
        <v>2020</v>
      </c>
      <c r="B15" s="36">
        <f>Inputs!B9</f>
        <v>26905.00001660228</v>
      </c>
      <c r="C15" s="36">
        <f>Inputs!C9</f>
        <v>2489.9999999185279</v>
      </c>
      <c r="D15" s="36">
        <f>Inputs!D9</f>
        <v>192.00000066270547</v>
      </c>
      <c r="E15" s="36">
        <f>Inputs!E9</f>
        <v>45.999875630857623</v>
      </c>
      <c r="F15" s="36">
        <f>Inputs!F9</f>
        <v>641.99999863824553</v>
      </c>
      <c r="G15" s="36">
        <f>Inputs!G9</f>
        <v>5978.0000050757508</v>
      </c>
      <c r="H15" s="36">
        <f>Inputs!H9</f>
        <v>1</v>
      </c>
      <c r="I15" s="45">
        <f t="shared" si="0"/>
        <v>36253.999896528367</v>
      </c>
      <c r="K15" s="6">
        <f t="shared" si="1"/>
        <v>29588.000017183513</v>
      </c>
      <c r="L15" s="6"/>
      <c r="O15" s="101" t="s">
        <v>68</v>
      </c>
      <c r="P15" s="99">
        <f>P14*(1+$P$11)</f>
        <v>31232.632360351607</v>
      </c>
      <c r="Q15" s="99">
        <f t="shared" ref="Q15:Q18" si="2">Q14*(1+$Q$11)</f>
        <v>31528.006481392367</v>
      </c>
      <c r="R15" s="99"/>
    </row>
    <row r="16" spans="1:18" x14ac:dyDescent="0.2">
      <c r="A16" s="4">
        <v>2021</v>
      </c>
      <c r="B16" s="36">
        <f>Inputs!B10</f>
        <v>27186.000018568298</v>
      </c>
      <c r="C16" s="36">
        <f>Inputs!C10</f>
        <v>2496.0000006376936</v>
      </c>
      <c r="D16" s="36">
        <f>Inputs!D10</f>
        <v>199.00000072789609</v>
      </c>
      <c r="E16" s="36">
        <f>Inputs!E10</f>
        <v>45.000581707115771</v>
      </c>
      <c r="F16" s="36">
        <f>Inputs!F10</f>
        <v>638.99997565187289</v>
      </c>
      <c r="G16" s="36">
        <f>Inputs!G10</f>
        <v>6008.999999975149</v>
      </c>
      <c r="H16" s="36">
        <f>Inputs!H10</f>
        <v>1</v>
      </c>
      <c r="I16" s="45">
        <f t="shared" si="0"/>
        <v>36575.000577268031</v>
      </c>
      <c r="K16" s="6">
        <f t="shared" si="1"/>
        <v>29882.00001993389</v>
      </c>
      <c r="L16" s="6"/>
      <c r="O16" s="101" t="s">
        <v>31</v>
      </c>
      <c r="P16" s="99">
        <f t="shared" ref="P16" si="3">P15*(1+$P$11)</f>
        <v>31259.904722323834</v>
      </c>
      <c r="Q16" s="99">
        <f t="shared" si="2"/>
        <v>31547.167373359163</v>
      </c>
      <c r="R16" s="99"/>
    </row>
    <row r="17" spans="1:18" x14ac:dyDescent="0.2">
      <c r="A17" s="4">
        <v>2022</v>
      </c>
      <c r="B17" s="36">
        <f>Inputs!B11</f>
        <v>27519.000027677106</v>
      </c>
      <c r="C17" s="36">
        <f>Inputs!C11</f>
        <v>2518.0000018093401</v>
      </c>
      <c r="D17" s="36">
        <f>Inputs!D11</f>
        <v>200.999999803191</v>
      </c>
      <c r="E17" s="36">
        <f>Inputs!E11</f>
        <v>43.000548916746652</v>
      </c>
      <c r="F17" s="36">
        <f>Inputs!F11</f>
        <v>636.00001432786598</v>
      </c>
      <c r="G17" s="36">
        <f>Inputs!G11</f>
        <v>6014.0000002044408</v>
      </c>
      <c r="H17" s="36">
        <f>Inputs!H11</f>
        <v>1</v>
      </c>
      <c r="I17" s="45">
        <f t="shared" si="0"/>
        <v>36932.000592738696</v>
      </c>
      <c r="K17" s="6">
        <f t="shared" si="1"/>
        <v>30239.00002928964</v>
      </c>
      <c r="L17" s="6"/>
      <c r="O17" s="101" t="s">
        <v>69</v>
      </c>
      <c r="P17" s="99">
        <f t="shared" ref="P17:P22" si="4">P16*(1+$P$11)</f>
        <v>31287.200898546456</v>
      </c>
      <c r="Q17" s="99">
        <f t="shared" si="2"/>
        <v>31566.3399102037</v>
      </c>
      <c r="R17" s="99"/>
    </row>
    <row r="18" spans="1:18" x14ac:dyDescent="0.2">
      <c r="A18" s="4">
        <v>2023</v>
      </c>
      <c r="B18" s="36">
        <f>Inputs!B12</f>
        <v>27839.000016931259</v>
      </c>
      <c r="C18" s="36">
        <f>Inputs!C12</f>
        <v>2530.000959279259</v>
      </c>
      <c r="D18" s="36">
        <f>Inputs!D12</f>
        <v>199.99977258067324</v>
      </c>
      <c r="E18" s="36">
        <f>Inputs!E12</f>
        <v>42.000113079818469</v>
      </c>
      <c r="F18" s="36">
        <f>Inputs!F12</f>
        <v>627.00000011456291</v>
      </c>
      <c r="G18" s="36">
        <f>Inputs!G12</f>
        <v>6055.000004176286</v>
      </c>
      <c r="H18" s="36">
        <f>Inputs!H12</f>
        <v>1</v>
      </c>
      <c r="I18" s="45">
        <f t="shared" si="0"/>
        <v>37294.000866161856</v>
      </c>
      <c r="K18" s="6">
        <f t="shared" si="1"/>
        <v>30570.00074879119</v>
      </c>
      <c r="L18" s="6"/>
      <c r="O18" s="101" t="s">
        <v>70</v>
      </c>
      <c r="P18" s="99">
        <f t="shared" si="4"/>
        <v>31314.520909814099</v>
      </c>
      <c r="Q18" s="99">
        <f t="shared" si="2"/>
        <v>31585.524099003062</v>
      </c>
      <c r="R18" s="99"/>
    </row>
    <row r="19" spans="1:18" x14ac:dyDescent="0.2">
      <c r="A19" s="4">
        <v>2024</v>
      </c>
      <c r="B19" s="36">
        <f>Inputs!B13</f>
        <v>28077.000009760213</v>
      </c>
      <c r="C19" s="36">
        <f>Inputs!C13</f>
        <v>2534.0000002060556</v>
      </c>
      <c r="D19" s="36">
        <f>Inputs!D13</f>
        <v>203.00000052972231</v>
      </c>
      <c r="E19" s="36">
        <f>Inputs!E13</f>
        <v>41.999907697781225</v>
      </c>
      <c r="F19" s="36">
        <f>Inputs!F13</f>
        <v>623.99970368356333</v>
      </c>
      <c r="G19" s="36">
        <f>Inputs!G13</f>
        <v>6146.0000101049836</v>
      </c>
      <c r="H19" s="36">
        <f>Inputs!H13</f>
        <v>1</v>
      </c>
      <c r="I19" s="45">
        <f t="shared" si="0"/>
        <v>37626.999631982319</v>
      </c>
      <c r="K19" s="6">
        <f>B19+C19+D19+H19</f>
        <v>30815.000010495991</v>
      </c>
      <c r="L19" s="54"/>
      <c r="O19" s="101" t="s">
        <v>71</v>
      </c>
      <c r="P19" s="99">
        <f t="shared" si="4"/>
        <v>31341.864776939543</v>
      </c>
      <c r="Q19" s="99">
        <f>Q18*(1+$Q$11)</f>
        <v>31604.719946838628</v>
      </c>
      <c r="R19" s="99"/>
    </row>
    <row r="20" spans="1:18" x14ac:dyDescent="0.2">
      <c r="A20" s="4">
        <v>2025</v>
      </c>
      <c r="B20" s="36">
        <f>Inputs!B14</f>
        <v>28279.00000933748</v>
      </c>
      <c r="C20" s="36">
        <f>Inputs!C14</f>
        <v>2545.0000004697868</v>
      </c>
      <c r="D20" s="36">
        <f>Inputs!D14</f>
        <v>202.99999955378772</v>
      </c>
      <c r="E20" s="36">
        <f>Inputs!E14</f>
        <v>42.999447682064066</v>
      </c>
      <c r="F20" s="36">
        <f>Inputs!F14</f>
        <v>618.00003175109202</v>
      </c>
      <c r="G20" s="36">
        <f>Inputs!G14</f>
        <v>6154.9999939099025</v>
      </c>
      <c r="H20" s="36">
        <f>Inputs!H14</f>
        <v>1</v>
      </c>
      <c r="I20" s="45">
        <f t="shared" si="0"/>
        <v>37843.999482704116</v>
      </c>
      <c r="K20" s="6">
        <f t="shared" si="1"/>
        <v>31028.000009361054</v>
      </c>
      <c r="L20" s="54"/>
      <c r="O20" s="101" t="s">
        <v>72</v>
      </c>
      <c r="P20" s="99">
        <f t="shared" si="4"/>
        <v>31369.232520753743</v>
      </c>
      <c r="Q20" s="99">
        <f>Q19*(1+$Q$11)</f>
        <v>31623.927460796087</v>
      </c>
      <c r="R20" s="99"/>
    </row>
    <row r="21" spans="1:18" x14ac:dyDescent="0.2">
      <c r="A21" s="4">
        <v>2026</v>
      </c>
      <c r="B21" s="13">
        <f>B20*$B$38</f>
        <v>28547.296882429408</v>
      </c>
      <c r="C21" s="13">
        <f>C20*$C$38</f>
        <v>2550.3899695677478</v>
      </c>
      <c r="D21" s="13">
        <f>D20*$D$38</f>
        <v>201.9182812729521</v>
      </c>
      <c r="E21" s="13">
        <f>E20*$E$38</f>
        <v>43.856693653094261</v>
      </c>
      <c r="F21" s="13">
        <f>F20*$F$38</f>
        <v>605.11857712799974</v>
      </c>
      <c r="G21" s="13">
        <f>G20*$G$38</f>
        <v>6205.5720752614961</v>
      </c>
      <c r="H21" s="13">
        <f>H20*$H$38</f>
        <v>1</v>
      </c>
      <c r="I21" s="45">
        <f>SUM(B21:H21)</f>
        <v>38155.152479312696</v>
      </c>
      <c r="K21" s="6">
        <f>B21+C21+D21+H21</f>
        <v>31300.605133270106</v>
      </c>
      <c r="L21" s="54"/>
      <c r="O21" s="101" t="s">
        <v>73</v>
      </c>
      <c r="P21" s="99">
        <f t="shared" si="4"/>
        <v>31396.624162105851</v>
      </c>
      <c r="Q21" s="99">
        <f>Q20*(1+$Q$11)</f>
        <v>31643.146647965426</v>
      </c>
      <c r="R21" s="99"/>
    </row>
    <row r="22" spans="1:18" x14ac:dyDescent="0.2">
      <c r="A22" s="4">
        <v>2027</v>
      </c>
      <c r="B22" s="13">
        <f>B21*$B$38</f>
        <v>28818.139220781319</v>
      </c>
      <c r="C22" s="13">
        <f>C21*$C$38</f>
        <v>2555.7913538982712</v>
      </c>
      <c r="D22" s="13">
        <f>D21*$D$38</f>
        <v>200.84232710266656</v>
      </c>
      <c r="E22" s="13">
        <f>E21*$E$38</f>
        <v>44.731029858870748</v>
      </c>
      <c r="F22" s="13">
        <f>F21*$F$38</f>
        <v>592.50562066782277</v>
      </c>
      <c r="G22" s="13">
        <f>G21*$G$38</f>
        <v>6256.5596782076891</v>
      </c>
      <c r="H22" s="13">
        <f>H21*$H$38</f>
        <v>1</v>
      </c>
      <c r="I22" s="45">
        <f t="shared" si="0"/>
        <v>38469.569230516638</v>
      </c>
      <c r="K22" s="6">
        <f>B22+C22+D22+H22</f>
        <v>31575.772901782257</v>
      </c>
      <c r="L22" s="54"/>
      <c r="O22" s="101" t="s">
        <v>74</v>
      </c>
      <c r="P22" s="99">
        <f t="shared" si="4"/>
        <v>31424.03972186321</v>
      </c>
      <c r="Q22" s="99">
        <f>Q21*(1+$Q$11)</f>
        <v>31662.377515440949</v>
      </c>
      <c r="R22" s="99"/>
    </row>
    <row r="23" spans="1:18" ht="13.5" thickBot="1" x14ac:dyDescent="0.25">
      <c r="A23" s="12"/>
      <c r="O23" s="127" t="s">
        <v>75</v>
      </c>
      <c r="P23" s="126">
        <f>P22*(1+$P$11)</f>
        <v>31451.479220911398</v>
      </c>
      <c r="Q23" s="126">
        <f>Q22*(1+$Q$11)</f>
        <v>31681.620070321267</v>
      </c>
      <c r="R23" s="126"/>
    </row>
    <row r="24" spans="1:18" ht="13.5" thickTop="1" x14ac:dyDescent="0.2">
      <c r="A24" s="12" t="s">
        <v>16</v>
      </c>
      <c r="B24" s="5"/>
      <c r="C24" s="5"/>
      <c r="D24" s="5"/>
      <c r="E24" s="5"/>
      <c r="F24" s="5"/>
      <c r="G24" s="5"/>
      <c r="H24" s="15"/>
      <c r="O24" s="101" t="s">
        <v>9</v>
      </c>
      <c r="P24" s="99">
        <f>AVERAGE(P12:P23)</f>
        <v>31301.000002816389</v>
      </c>
      <c r="Q24" s="99">
        <f>AVERAGE(Q12:Q23)</f>
        <v>31575.999995034032</v>
      </c>
      <c r="R24" s="99"/>
    </row>
    <row r="25" spans="1:18" x14ac:dyDescent="0.2">
      <c r="A25" s="4"/>
      <c r="B25" s="15"/>
      <c r="C25" s="15"/>
      <c r="D25" s="15"/>
      <c r="E25" s="15"/>
      <c r="F25" s="15"/>
      <c r="G25" s="15"/>
      <c r="H25" s="15"/>
      <c r="P25" s="6">
        <f>K21</f>
        <v>31300.605133270106</v>
      </c>
      <c r="Q25" s="6">
        <f>K22</f>
        <v>31575.772901782257</v>
      </c>
      <c r="R25" s="6"/>
    </row>
    <row r="26" spans="1:18" x14ac:dyDescent="0.2">
      <c r="A26" s="4">
        <f t="shared" ref="A26:A32" si="5">+A11</f>
        <v>2016</v>
      </c>
      <c r="B26" s="15"/>
      <c r="C26" s="15"/>
      <c r="D26" s="15"/>
      <c r="E26" s="15"/>
      <c r="F26" s="15"/>
      <c r="G26" s="15"/>
      <c r="H26" s="15"/>
      <c r="P26" s="6">
        <f>P24-P25</f>
        <v>0.39486954628227977</v>
      </c>
      <c r="Q26" s="6">
        <f>Q24-Q25</f>
        <v>0.22709325177493156</v>
      </c>
      <c r="R26" s="6"/>
    </row>
    <row r="27" spans="1:18" x14ac:dyDescent="0.2">
      <c r="A27" s="4">
        <f t="shared" si="5"/>
        <v>2017</v>
      </c>
      <c r="B27" s="15">
        <f>B12/B11</f>
        <v>1.0059287779410639</v>
      </c>
      <c r="C27" s="15">
        <f t="shared" ref="C27:H27" si="6">C12/C11</f>
        <v>1.0032038445820768</v>
      </c>
      <c r="D27" s="15">
        <f t="shared" si="6"/>
        <v>0.94835680728544991</v>
      </c>
      <c r="E27" s="15">
        <f t="shared" si="6"/>
        <v>1.1944279950188834</v>
      </c>
      <c r="F27" s="15">
        <f t="shared" si="6"/>
        <v>0.96251673312973707</v>
      </c>
      <c r="G27" s="15">
        <f t="shared" si="6"/>
        <v>1.003672612582966</v>
      </c>
      <c r="H27" s="15">
        <f t="shared" si="6"/>
        <v>1</v>
      </c>
    </row>
    <row r="28" spans="1:18" x14ac:dyDescent="0.2">
      <c r="A28" s="4">
        <f t="shared" si="5"/>
        <v>2018</v>
      </c>
      <c r="B28" s="15">
        <f>B13/B12</f>
        <v>1.0083432202982547</v>
      </c>
      <c r="C28" s="15">
        <f t="shared" ref="B28:H34" si="7">C13/C12</f>
        <v>0.99760479002704106</v>
      </c>
      <c r="D28" s="15">
        <f t="shared" si="7"/>
        <v>0.98019474291738828</v>
      </c>
      <c r="E28" s="15">
        <f t="shared" si="7"/>
        <v>1.1395561473386349</v>
      </c>
      <c r="F28" s="15">
        <f t="shared" si="7"/>
        <v>0.97635630524878136</v>
      </c>
      <c r="G28" s="15">
        <f t="shared" si="7"/>
        <v>1.0034849278365343</v>
      </c>
      <c r="H28" s="15">
        <f t="shared" si="7"/>
        <v>1</v>
      </c>
    </row>
    <row r="29" spans="1:18" x14ac:dyDescent="0.2">
      <c r="A29" s="4">
        <f t="shared" si="5"/>
        <v>2019</v>
      </c>
      <c r="B29" s="15">
        <f>B14/B13</f>
        <v>1.0103237562988352</v>
      </c>
      <c r="C29" s="15">
        <f t="shared" si="7"/>
        <v>0.9971988798862278</v>
      </c>
      <c r="D29" s="15">
        <f t="shared" si="7"/>
        <v>0.97475073345865926</v>
      </c>
      <c r="E29" s="15">
        <f t="shared" si="7"/>
        <v>0.95918349376954903</v>
      </c>
      <c r="F29" s="15">
        <f t="shared" si="7"/>
        <v>0.95726470847325673</v>
      </c>
      <c r="G29" s="15">
        <f t="shared" si="7"/>
        <v>1.0178850522523568</v>
      </c>
      <c r="H29" s="15">
        <f t="shared" si="7"/>
        <v>1</v>
      </c>
    </row>
    <row r="30" spans="1:18" x14ac:dyDescent="0.2">
      <c r="A30" s="4">
        <f t="shared" si="5"/>
        <v>2020</v>
      </c>
      <c r="B30" s="15">
        <f>B15/B14</f>
        <v>1.0107442051141271</v>
      </c>
      <c r="C30" s="15">
        <f t="shared" si="7"/>
        <v>0.99919743174587761</v>
      </c>
      <c r="D30" s="15">
        <f t="shared" si="7"/>
        <v>0.99481866029770294</v>
      </c>
      <c r="E30" s="15">
        <f t="shared" si="7"/>
        <v>0.97870875130105872</v>
      </c>
      <c r="F30" s="15">
        <f t="shared" si="7"/>
        <v>0.95535714324414756</v>
      </c>
      <c r="G30" s="15">
        <f t="shared" si="7"/>
        <v>1.0197884660214069</v>
      </c>
      <c r="H30" s="15">
        <f t="shared" si="7"/>
        <v>1</v>
      </c>
    </row>
    <row r="31" spans="1:18" x14ac:dyDescent="0.2">
      <c r="A31" s="4">
        <f t="shared" si="5"/>
        <v>2021</v>
      </c>
      <c r="B31" s="15">
        <f t="shared" si="7"/>
        <v>1.0104441554280847</v>
      </c>
      <c r="C31" s="15">
        <f t="shared" si="7"/>
        <v>1.0024096388431172</v>
      </c>
      <c r="D31" s="15">
        <f t="shared" si="7"/>
        <v>1.0364583335470285</v>
      </c>
      <c r="E31" s="15">
        <f t="shared" si="7"/>
        <v>0.97827616031484432</v>
      </c>
      <c r="F31" s="15">
        <f t="shared" si="7"/>
        <v>0.99532706698950779</v>
      </c>
      <c r="G31" s="15">
        <f t="shared" si="7"/>
        <v>1.0051856799720771</v>
      </c>
      <c r="H31" s="15">
        <f t="shared" si="7"/>
        <v>1</v>
      </c>
    </row>
    <row r="32" spans="1:18" x14ac:dyDescent="0.2">
      <c r="A32" s="4">
        <f t="shared" si="5"/>
        <v>2022</v>
      </c>
      <c r="B32" s="15">
        <f t="shared" si="7"/>
        <v>1.0122489519929878</v>
      </c>
      <c r="C32" s="15">
        <f t="shared" si="7"/>
        <v>1.0088141030312603</v>
      </c>
      <c r="D32" s="15">
        <f t="shared" si="7"/>
        <v>1.0100502465727608</v>
      </c>
      <c r="E32" s="15">
        <f t="shared" si="7"/>
        <v>0.95555540140822537</v>
      </c>
      <c r="F32" s="15">
        <f t="shared" si="7"/>
        <v>0.99530522466617233</v>
      </c>
      <c r="G32" s="15">
        <f t="shared" si="7"/>
        <v>1.0008320852436865</v>
      </c>
      <c r="H32" s="15">
        <f t="shared" si="7"/>
        <v>1</v>
      </c>
    </row>
    <row r="33" spans="1:9" x14ac:dyDescent="0.2">
      <c r="A33" s="4">
        <f t="shared" ref="A33:A35" si="8">+A18</f>
        <v>2023</v>
      </c>
      <c r="B33" s="15">
        <f t="shared" si="7"/>
        <v>1.0116283291156043</v>
      </c>
      <c r="C33" s="15">
        <f t="shared" si="7"/>
        <v>1.0047660672999585</v>
      </c>
      <c r="D33" s="15">
        <f t="shared" si="7"/>
        <v>0.99502374515673064</v>
      </c>
      <c r="E33" s="15">
        <f t="shared" si="7"/>
        <v>0.97673434730181874</v>
      </c>
      <c r="F33" s="15">
        <f t="shared" si="7"/>
        <v>0.98584903457460704</v>
      </c>
      <c r="G33" s="15">
        <f t="shared" si="7"/>
        <v>1.0068174266661876</v>
      </c>
      <c r="H33" s="15">
        <f t="shared" si="7"/>
        <v>1</v>
      </c>
    </row>
    <row r="34" spans="1:9" x14ac:dyDescent="0.2">
      <c r="A34" s="4">
        <f t="shared" si="8"/>
        <v>2024</v>
      </c>
      <c r="B34" s="15">
        <f>B19/B18</f>
        <v>1.0085491573937357</v>
      </c>
      <c r="C34" s="15">
        <f t="shared" si="7"/>
        <v>1.0015806479883453</v>
      </c>
      <c r="D34" s="15">
        <f t="shared" si="7"/>
        <v>1.0150011568030104</v>
      </c>
      <c r="E34" s="15">
        <f t="shared" si="7"/>
        <v>0.99999510996466001</v>
      </c>
      <c r="F34" s="15">
        <f t="shared" si="7"/>
        <v>0.99521483822894519</v>
      </c>
      <c r="G34" s="15">
        <f t="shared" si="7"/>
        <v>1.0150289027028792</v>
      </c>
      <c r="H34" s="15">
        <f t="shared" si="7"/>
        <v>1</v>
      </c>
    </row>
    <row r="35" spans="1:9" x14ac:dyDescent="0.2">
      <c r="A35" s="4">
        <f t="shared" si="8"/>
        <v>2025</v>
      </c>
      <c r="B35" s="15">
        <f>B20/B19</f>
        <v>1.0071945008194267</v>
      </c>
      <c r="C35" s="15">
        <f>C20/C19</f>
        <v>1.004340963008223</v>
      </c>
      <c r="D35" s="15">
        <f t="shared" ref="D35:H35" si="9">D20/D19</f>
        <v>0.99999999519244043</v>
      </c>
      <c r="E35" s="15">
        <f t="shared" si="9"/>
        <v>1.0237986233559186</v>
      </c>
      <c r="F35" s="15">
        <f t="shared" si="9"/>
        <v>0.99038513656808758</v>
      </c>
      <c r="G35" s="15">
        <f t="shared" si="9"/>
        <v>1.0014643644305437</v>
      </c>
      <c r="H35" s="15">
        <f t="shared" si="9"/>
        <v>1</v>
      </c>
      <c r="I35" s="145"/>
    </row>
    <row r="36" spans="1:9" x14ac:dyDescent="0.2">
      <c r="A36" s="4"/>
      <c r="B36" s="15"/>
      <c r="C36" s="15"/>
      <c r="D36" s="15"/>
      <c r="E36" s="15"/>
      <c r="F36" s="15"/>
      <c r="G36" s="15"/>
      <c r="H36" s="15"/>
    </row>
    <row r="38" spans="1:9" x14ac:dyDescent="0.2">
      <c r="A38" t="s">
        <v>29</v>
      </c>
      <c r="B38" s="50">
        <f>B40</f>
        <v>1.0094874950671289</v>
      </c>
      <c r="C38" s="50">
        <f t="shared" ref="C38:G38" si="10">C40</f>
        <v>1.0021178660498884</v>
      </c>
      <c r="D38" s="50">
        <f t="shared" si="10"/>
        <v>0.99467133850633827</v>
      </c>
      <c r="E38" s="50">
        <f t="shared" si="10"/>
        <v>1.0199362088873474</v>
      </c>
      <c r="F38" s="50">
        <f>F40</f>
        <v>0.97915622336362518</v>
      </c>
      <c r="G38" s="50">
        <f t="shared" si="10"/>
        <v>1.0082164226485186</v>
      </c>
      <c r="H38" s="50">
        <f>+H40</f>
        <v>1</v>
      </c>
      <c r="I38" s="39" t="s">
        <v>40</v>
      </c>
    </row>
    <row r="39" spans="1:9" x14ac:dyDescent="0.2">
      <c r="B39" s="16"/>
      <c r="C39" s="16"/>
      <c r="D39" s="16"/>
      <c r="E39" s="16"/>
      <c r="F39" s="16"/>
      <c r="G39" s="16"/>
      <c r="H39" s="16"/>
    </row>
    <row r="40" spans="1:9" x14ac:dyDescent="0.2">
      <c r="A40" t="s">
        <v>10</v>
      </c>
      <c r="B40" s="16">
        <f>IF(B17="",0,GEOMEAN(B27:B35))</f>
        <v>1.0094874950671289</v>
      </c>
      <c r="C40" s="16">
        <f t="shared" ref="C40:H40" si="11">IF(C17="",0,GEOMEAN(C27:C35))</f>
        <v>1.0021178660498884</v>
      </c>
      <c r="D40" s="16">
        <f t="shared" si="11"/>
        <v>0.99467133850633827</v>
      </c>
      <c r="E40" s="16">
        <f t="shared" si="11"/>
        <v>1.0199362088873474</v>
      </c>
      <c r="F40" s="16">
        <f>IF(F17="",0,GEOMEAN(F27:F35))</f>
        <v>0.97915622336362518</v>
      </c>
      <c r="G40" s="16">
        <f t="shared" si="11"/>
        <v>1.0082164226485186</v>
      </c>
      <c r="H40" s="16">
        <f t="shared" si="11"/>
        <v>1</v>
      </c>
    </row>
    <row r="41" spans="1:9" x14ac:dyDescent="0.2">
      <c r="A41" s="4"/>
      <c r="B41" s="16"/>
      <c r="C41" s="16"/>
      <c r="D41" s="16"/>
      <c r="E41" s="16"/>
      <c r="F41" s="16"/>
      <c r="G41" s="16"/>
      <c r="H41" s="16"/>
    </row>
    <row r="42" spans="1:9" x14ac:dyDescent="0.2">
      <c r="A42" t="s">
        <v>156</v>
      </c>
      <c r="B42"/>
      <c r="C42"/>
      <c r="D42"/>
      <c r="E42"/>
      <c r="F42" s="33"/>
      <c r="G42"/>
      <c r="H42"/>
    </row>
    <row r="43" spans="1:9" x14ac:dyDescent="0.2">
      <c r="A43" s="3"/>
      <c r="B43"/>
      <c r="C43"/>
      <c r="D43"/>
      <c r="E43"/>
      <c r="F43" s="33"/>
      <c r="G43"/>
      <c r="H43"/>
    </row>
    <row r="44" spans="1:9" x14ac:dyDescent="0.2">
      <c r="A44" s="3"/>
      <c r="B44"/>
      <c r="C44"/>
      <c r="D44"/>
      <c r="E44"/>
      <c r="F44" s="33"/>
      <c r="G44"/>
      <c r="H44"/>
    </row>
    <row r="45" spans="1:9" x14ac:dyDescent="0.2">
      <c r="A45" s="3"/>
      <c r="B45"/>
      <c r="C45"/>
      <c r="D45"/>
      <c r="E45"/>
      <c r="F45" s="33"/>
      <c r="G45"/>
      <c r="H45"/>
    </row>
    <row r="46" spans="1:9" x14ac:dyDescent="0.2">
      <c r="A46" s="3"/>
      <c r="B46"/>
      <c r="C46"/>
      <c r="D46"/>
      <c r="E46"/>
      <c r="F46" s="33"/>
      <c r="G46"/>
      <c r="H46"/>
    </row>
    <row r="47" spans="1:9" x14ac:dyDescent="0.2">
      <c r="A47" s="3"/>
      <c r="B47"/>
      <c r="C47"/>
      <c r="D47"/>
      <c r="E47"/>
      <c r="F47" s="33"/>
      <c r="G47"/>
      <c r="H47"/>
    </row>
    <row r="48" spans="1:9" x14ac:dyDescent="0.2">
      <c r="A48" s="3"/>
      <c r="B48"/>
      <c r="C48"/>
      <c r="D48"/>
      <c r="E48"/>
      <c r="F48" s="33"/>
      <c r="G48"/>
      <c r="H48"/>
    </row>
    <row r="49" spans="1:8" x14ac:dyDescent="0.2">
      <c r="A49" s="3"/>
      <c r="B49"/>
      <c r="C49"/>
      <c r="D49"/>
      <c r="E49"/>
      <c r="F49" s="33"/>
      <c r="G49"/>
      <c r="H49"/>
    </row>
    <row r="50" spans="1:8" x14ac:dyDescent="0.2">
      <c r="A50" s="3"/>
      <c r="B50"/>
      <c r="C50"/>
      <c r="D50"/>
      <c r="E50"/>
      <c r="F50" s="33"/>
      <c r="G50"/>
      <c r="H50"/>
    </row>
    <row r="51" spans="1:8" x14ac:dyDescent="0.2">
      <c r="A51" s="3"/>
      <c r="B51"/>
      <c r="C51"/>
      <c r="D51"/>
      <c r="E51"/>
      <c r="F51" s="33"/>
      <c r="G51"/>
      <c r="H51"/>
    </row>
    <row r="52" spans="1:8" x14ac:dyDescent="0.2">
      <c r="A52" s="3"/>
      <c r="B52"/>
      <c r="C52"/>
      <c r="D52"/>
      <c r="E52"/>
      <c r="F52" s="33"/>
      <c r="G52"/>
      <c r="H52"/>
    </row>
    <row r="53" spans="1:8" x14ac:dyDescent="0.2">
      <c r="A53" s="3"/>
      <c r="B53"/>
      <c r="C53"/>
      <c r="D53"/>
      <c r="E53"/>
      <c r="F53"/>
      <c r="G53"/>
      <c r="H53"/>
    </row>
    <row r="54" spans="1:8" x14ac:dyDescent="0.2">
      <c r="A54" s="3"/>
      <c r="B54"/>
      <c r="C54"/>
      <c r="D54"/>
      <c r="E54"/>
      <c r="F54" s="33"/>
      <c r="G54"/>
      <c r="H54"/>
    </row>
    <row r="55" spans="1:8" x14ac:dyDescent="0.2">
      <c r="A55" s="3"/>
      <c r="B55"/>
      <c r="C55"/>
      <c r="D55"/>
      <c r="E55"/>
      <c r="F55"/>
      <c r="G55"/>
      <c r="H55"/>
    </row>
    <row r="56" spans="1:8" x14ac:dyDescent="0.2">
      <c r="A56" s="3"/>
      <c r="B56"/>
      <c r="C56"/>
      <c r="D56"/>
      <c r="E56"/>
      <c r="F56"/>
      <c r="G56"/>
      <c r="H56"/>
    </row>
    <row r="57" spans="1:8" x14ac:dyDescent="0.2">
      <c r="A57" s="3"/>
      <c r="B57"/>
      <c r="C57"/>
      <c r="D57"/>
      <c r="E57"/>
      <c r="F57"/>
      <c r="G57"/>
      <c r="H57"/>
    </row>
    <row r="58" spans="1:8" x14ac:dyDescent="0.2">
      <c r="A58" s="3"/>
      <c r="B58"/>
      <c r="C58"/>
      <c r="D58"/>
      <c r="E58"/>
      <c r="F58"/>
      <c r="G58"/>
      <c r="H58"/>
    </row>
    <row r="59" spans="1:8" x14ac:dyDescent="0.2">
      <c r="A59" s="3"/>
      <c r="B59"/>
      <c r="C59"/>
      <c r="D59"/>
      <c r="E59"/>
      <c r="F59"/>
      <c r="G59"/>
      <c r="H59"/>
    </row>
    <row r="60" spans="1:8" x14ac:dyDescent="0.2">
      <c r="A60" s="3"/>
      <c r="B60"/>
      <c r="C60"/>
      <c r="D60"/>
      <c r="E60"/>
      <c r="F60"/>
      <c r="G60"/>
      <c r="H60"/>
    </row>
    <row r="61" spans="1:8" x14ac:dyDescent="0.2">
      <c r="A61" s="3"/>
      <c r="B61"/>
      <c r="C61"/>
      <c r="D61"/>
      <c r="E61"/>
      <c r="F61"/>
      <c r="G61"/>
      <c r="H61"/>
    </row>
    <row r="62" spans="1:8" x14ac:dyDescent="0.2">
      <c r="A62" s="3"/>
      <c r="B62"/>
      <c r="C62"/>
      <c r="D62"/>
      <c r="E62"/>
      <c r="F62"/>
      <c r="G62"/>
      <c r="H62"/>
    </row>
    <row r="63" spans="1:8" x14ac:dyDescent="0.2">
      <c r="A63" s="3"/>
      <c r="B63"/>
      <c r="C63"/>
      <c r="D63"/>
      <c r="E63"/>
      <c r="F63"/>
      <c r="G63"/>
      <c r="H63"/>
    </row>
    <row r="64" spans="1:8" x14ac:dyDescent="0.2">
      <c r="A64" s="3"/>
      <c r="B64"/>
      <c r="C64"/>
      <c r="D64"/>
      <c r="E64"/>
      <c r="F64"/>
      <c r="G64"/>
      <c r="H64"/>
    </row>
    <row r="65" spans="1:8" x14ac:dyDescent="0.2">
      <c r="A65" s="3"/>
      <c r="B65"/>
      <c r="C65"/>
      <c r="D65"/>
      <c r="E65"/>
      <c r="F65"/>
      <c r="G65"/>
      <c r="H65"/>
    </row>
    <row r="66" spans="1:8" x14ac:dyDescent="0.2">
      <c r="A66" s="3"/>
      <c r="B66"/>
      <c r="C66"/>
      <c r="D66"/>
      <c r="E66"/>
      <c r="F66"/>
      <c r="G66"/>
      <c r="H66"/>
    </row>
    <row r="67" spans="1:8" x14ac:dyDescent="0.2">
      <c r="B67"/>
      <c r="C67"/>
      <c r="D67"/>
      <c r="E67"/>
      <c r="F67"/>
      <c r="G67"/>
      <c r="H67"/>
    </row>
    <row r="68" spans="1:8" x14ac:dyDescent="0.2">
      <c r="B68"/>
      <c r="C68"/>
      <c r="D68"/>
      <c r="E68"/>
      <c r="F68"/>
      <c r="G68"/>
      <c r="H68"/>
    </row>
    <row r="69" spans="1:8" x14ac:dyDescent="0.2">
      <c r="B69"/>
      <c r="C69"/>
      <c r="D69"/>
      <c r="E69"/>
      <c r="F69"/>
      <c r="G69"/>
      <c r="H69"/>
    </row>
    <row r="70" spans="1:8" x14ac:dyDescent="0.2">
      <c r="B70"/>
      <c r="C70"/>
      <c r="D70"/>
      <c r="E70"/>
      <c r="F70"/>
      <c r="G70"/>
      <c r="H70"/>
    </row>
    <row r="71" spans="1:8" x14ac:dyDescent="0.2">
      <c r="B71"/>
      <c r="C71"/>
      <c r="D71"/>
      <c r="E71"/>
      <c r="F71"/>
      <c r="G71"/>
      <c r="H71"/>
    </row>
    <row r="72" spans="1:8" x14ac:dyDescent="0.2">
      <c r="B72"/>
      <c r="C72"/>
      <c r="D72"/>
      <c r="E72"/>
      <c r="F72"/>
      <c r="G72"/>
      <c r="H72"/>
    </row>
    <row r="73" spans="1:8" x14ac:dyDescent="0.2">
      <c r="B73"/>
      <c r="C73"/>
      <c r="D73"/>
      <c r="E73"/>
      <c r="F73"/>
      <c r="G73"/>
      <c r="H73"/>
    </row>
    <row r="74" spans="1:8" x14ac:dyDescent="0.2">
      <c r="B74"/>
      <c r="C74"/>
      <c r="D74"/>
      <c r="E74"/>
      <c r="F74"/>
      <c r="G74"/>
      <c r="H74"/>
    </row>
    <row r="75" spans="1:8" x14ac:dyDescent="0.2">
      <c r="B75"/>
      <c r="C75"/>
      <c r="D75"/>
      <c r="E75"/>
      <c r="F75"/>
      <c r="G75"/>
      <c r="H75"/>
    </row>
    <row r="76" spans="1:8" x14ac:dyDescent="0.2">
      <c r="B76"/>
      <c r="C76"/>
      <c r="D76"/>
      <c r="E76"/>
      <c r="F76"/>
      <c r="G76"/>
      <c r="H76"/>
    </row>
    <row r="77" spans="1:8" x14ac:dyDescent="0.2">
      <c r="B77"/>
      <c r="C77"/>
      <c r="D77"/>
      <c r="E77"/>
      <c r="F77"/>
      <c r="G77"/>
      <c r="H77"/>
    </row>
    <row r="78" spans="1:8" x14ac:dyDescent="0.2">
      <c r="B78"/>
      <c r="C78"/>
      <c r="D78"/>
      <c r="E78"/>
      <c r="F78"/>
      <c r="G78"/>
      <c r="H78"/>
    </row>
    <row r="79" spans="1:8" x14ac:dyDescent="0.2">
      <c r="B79"/>
      <c r="C79"/>
      <c r="D79"/>
      <c r="E79"/>
      <c r="F79"/>
      <c r="G79"/>
      <c r="H79"/>
    </row>
    <row r="80" spans="1:8" x14ac:dyDescent="0.2">
      <c r="B80"/>
      <c r="C80"/>
      <c r="D80"/>
      <c r="E80"/>
      <c r="F80"/>
      <c r="G80"/>
      <c r="H80"/>
    </row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</sheetData>
  <mergeCells count="1">
    <mergeCell ref="B1:H1"/>
  </mergeCells>
  <phoneticPr fontId="0" type="noConversion"/>
  <pageMargins left="0.7" right="0.7" top="0.75" bottom="0.75" header="0.3" footer="0.3"/>
  <pageSetup paperSize="5" scale="3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pageSetUpPr fitToPage="1"/>
  </sheetPr>
  <dimension ref="A1:L55"/>
  <sheetViews>
    <sheetView view="pageBreakPreview" zoomScale="60" zoomScaleNormal="100" workbookViewId="0">
      <selection activeCell="C22" sqref="C22"/>
    </sheetView>
  </sheetViews>
  <sheetFormatPr defaultRowHeight="12.75" x14ac:dyDescent="0.2"/>
  <cols>
    <col min="1" max="1" width="11" customWidth="1"/>
    <col min="2" max="2" width="14.140625" style="6" bestFit="1" customWidth="1"/>
    <col min="3" max="4" width="14.140625" style="6" customWidth="1"/>
    <col min="5" max="5" width="12.5703125" style="6" customWidth="1"/>
    <col min="6" max="6" width="13.42578125" customWidth="1"/>
    <col min="7" max="7" width="13" customWidth="1"/>
    <col min="8" max="8" width="9.140625" style="6" customWidth="1"/>
    <col min="9" max="9" width="23.28515625" bestFit="1" customWidth="1"/>
  </cols>
  <sheetData>
    <row r="1" spans="1:12" ht="25.5" x14ac:dyDescent="0.2">
      <c r="B1" s="8" t="str">
        <f>'Rate Class Customer Model'!D2</f>
        <v>General Service &gt;= 50 kW</v>
      </c>
      <c r="C1" s="8" t="str">
        <f>'Rate Class Customer Model'!F2</f>
        <v>Sentinel Lighting</v>
      </c>
      <c r="D1" s="8" t="str">
        <f>'Rate Class Customer Model'!G2</f>
        <v xml:space="preserve">Street Lighting </v>
      </c>
      <c r="E1" s="8" t="str">
        <f>'Rate Class Customer Model'!H2</f>
        <v>Embedded Distributor</v>
      </c>
      <c r="F1" s="48" t="s">
        <v>7</v>
      </c>
      <c r="G1" s="145"/>
    </row>
    <row r="2" spans="1:12" x14ac:dyDescent="0.2">
      <c r="A2" s="20">
        <f>+'Rate Class Customer Model'!A11</f>
        <v>2016</v>
      </c>
      <c r="B2" s="36">
        <f>SUMIF(Inputs!$A$24:$A$143,'Rate Class Load Model'!A2,Inputs!$K$24:$K$143)</f>
        <v>580036.22</v>
      </c>
      <c r="C2" s="36">
        <f>SUMIF(Inputs!$A$24:$A$143,'Rate Class Load Model'!$A$2,Inputs!$Q$24:$Q$143)</f>
        <v>2173.14</v>
      </c>
      <c r="D2" s="36">
        <f>SUMIF(Inputs!$A$24:$A$143,'Rate Class Load Model'!A2,Inputs!$T$24:$T$143)</f>
        <v>6413.35</v>
      </c>
      <c r="E2" s="36">
        <f>SUMIF(Inputs!A$24:A$143,'Rate Class Load Model'!A2,Inputs!W$24:W$143)</f>
        <v>16375.72</v>
      </c>
      <c r="F2" s="45">
        <f>SUM(B2:E2)</f>
        <v>604998.42999999993</v>
      </c>
    </row>
    <row r="3" spans="1:12" x14ac:dyDescent="0.2">
      <c r="A3" s="20">
        <f>+'Rate Class Customer Model'!A12</f>
        <v>2017</v>
      </c>
      <c r="B3" s="36">
        <f>SUMIF(Inputs!$A$24:$A$143,'Rate Class Load Model'!A3,Inputs!$K$24:$K$143)</f>
        <v>588371.79999999993</v>
      </c>
      <c r="C3" s="36">
        <f>SUMIF(Inputs!$A$24:$A$143,'Rate Class Load Model'!$A$3,Inputs!$Q$24:$Q$143)</f>
        <v>2037.9700000000007</v>
      </c>
      <c r="D3" s="36">
        <f>SUMIF(Inputs!$A$24:$A$143,'Rate Class Load Model'!A3,Inputs!$T$24:$T$143)</f>
        <v>4209.0200000000004</v>
      </c>
      <c r="E3" s="36">
        <f>SUMIF(Inputs!A$24:A$143,'Rate Class Load Model'!A3,Inputs!W$24:W$143)</f>
        <v>12501.41</v>
      </c>
      <c r="F3" s="45">
        <f t="shared" ref="F3:F13" si="0">SUM(B3:E3)</f>
        <v>607120.19999999995</v>
      </c>
    </row>
    <row r="4" spans="1:12" x14ac:dyDescent="0.2">
      <c r="A4" s="20">
        <f>+'Rate Class Customer Model'!A13</f>
        <v>2018</v>
      </c>
      <c r="B4" s="36">
        <f>SUMIF(Inputs!$A$24:$A$143,'Rate Class Load Model'!A4,Inputs!$K$24:$K$143)</f>
        <v>580250.94000000006</v>
      </c>
      <c r="C4" s="36">
        <f>SUMIF(Inputs!$A$24:$A$143,'Rate Class Load Model'!$A$4,Inputs!$Q$24:$Q$143)</f>
        <v>1951.2900000000013</v>
      </c>
      <c r="D4" s="36">
        <f>SUMIF(Inputs!$A$24:$A$143,'Rate Class Load Model'!A4,Inputs!$T$24:$T$143)</f>
        <v>4251.8</v>
      </c>
      <c r="E4" s="36">
        <f>SUMIF(Inputs!A$24:A$143,'Rate Class Load Model'!A4,Inputs!W$24:W$143)</f>
        <v>13532.36</v>
      </c>
      <c r="F4" s="45">
        <f t="shared" si="0"/>
        <v>599986.39000000013</v>
      </c>
    </row>
    <row r="5" spans="1:12" x14ac:dyDescent="0.2">
      <c r="A5" s="20">
        <f>+'Rate Class Customer Model'!A14</f>
        <v>2019</v>
      </c>
      <c r="B5" s="36">
        <f>SUMIF(Inputs!$A$24:$A$143,'Rate Class Load Model'!A5,Inputs!$K$24:$K$143)</f>
        <v>553967</v>
      </c>
      <c r="C5" s="36">
        <f>SUMIF(Inputs!$A$24:$A$143,'Rate Class Load Model'!$A$5,Inputs!$Q$24:$Q$143)</f>
        <v>1856</v>
      </c>
      <c r="D5" s="36">
        <f>SUMIF(Inputs!$A$24:$A$143,'Rate Class Load Model'!A5,Inputs!$T$24:$T$143)</f>
        <v>4286</v>
      </c>
      <c r="E5" s="36">
        <f>SUMIF(Inputs!A$24:A$143,'Rate Class Load Model'!A5,Inputs!W$24:W$143)</f>
        <v>13276</v>
      </c>
      <c r="F5" s="45">
        <f t="shared" si="0"/>
        <v>573385</v>
      </c>
    </row>
    <row r="6" spans="1:12" x14ac:dyDescent="0.2">
      <c r="A6" s="20">
        <f>+'Rate Class Customer Model'!A15</f>
        <v>2020</v>
      </c>
      <c r="B6" s="36">
        <f>SUMIF(Inputs!$A$24:$A$143,'Rate Class Load Model'!A6,Inputs!$K$24:$K$143)</f>
        <v>527483.83000000007</v>
      </c>
      <c r="C6" s="36">
        <f>SUMIF(Inputs!$A$24:$A$143,'Rate Class Load Model'!$A$6,Inputs!$Q$24:$Q$143)</f>
        <v>1722.9099999999999</v>
      </c>
      <c r="D6" s="36">
        <f>SUMIF(Inputs!$A$24:$A$143,'Rate Class Load Model'!A6,Inputs!$T$24:$T$143)</f>
        <v>4348.49</v>
      </c>
      <c r="E6" s="36">
        <f>SUMIF(Inputs!A$24:A$143,'Rate Class Load Model'!A6,Inputs!W$24:W$143)</f>
        <v>14339.56</v>
      </c>
      <c r="F6" s="45">
        <f t="shared" si="0"/>
        <v>547894.79000000015</v>
      </c>
    </row>
    <row r="7" spans="1:12" x14ac:dyDescent="0.2">
      <c r="A7" s="20">
        <f>+'Rate Class Customer Model'!A16</f>
        <v>2021</v>
      </c>
      <c r="B7" s="36">
        <f>SUMIF(Inputs!$A$24:$A$143,'Rate Class Load Model'!A7,Inputs!$K$24:$K$143)</f>
        <v>560531.96</v>
      </c>
      <c r="C7" s="36">
        <f>SUMIF(Inputs!$A$24:$A$143,'Rate Class Load Model'!$A$7,Inputs!$Q$24:$Q$143)</f>
        <v>1675.86</v>
      </c>
      <c r="D7" s="36">
        <f>SUMIF(Inputs!$A$24:$A$143,'Rate Class Load Model'!A7,Inputs!$T$24:$T$143)</f>
        <v>4352.42</v>
      </c>
      <c r="E7" s="36">
        <f>SUMIF(Inputs!A$24:A$143,'Rate Class Load Model'!A7,Inputs!W$24:W$143)</f>
        <v>14862.9</v>
      </c>
      <c r="F7" s="45">
        <f t="shared" si="0"/>
        <v>581423.14</v>
      </c>
    </row>
    <row r="8" spans="1:12" x14ac:dyDescent="0.2">
      <c r="A8" s="20">
        <f>+'Rate Class Customer Model'!A17</f>
        <v>2022</v>
      </c>
      <c r="B8" s="36">
        <f>SUMIF(Inputs!$A$24:$A$143,'Rate Class Load Model'!A8,Inputs!$K$24:$K$143)</f>
        <v>570326.93000000005</v>
      </c>
      <c r="C8" s="36">
        <f>SUMIF(Inputs!$A$24:$A$143,'Rate Class Load Model'!$A$8,Inputs!$Q$24:$Q$143)</f>
        <v>1636.3300000000002</v>
      </c>
      <c r="D8" s="36">
        <f>SUMIF(Inputs!$A$24:$A$143,'Rate Class Load Model'!A8,Inputs!$T$24:$T$143)</f>
        <v>4352.42</v>
      </c>
      <c r="E8" s="36">
        <f>SUMIF(Inputs!A$24:A$143,'Rate Class Load Model'!A8,Inputs!W$24:W$143)</f>
        <v>15056.95</v>
      </c>
      <c r="F8" s="45">
        <f t="shared" si="0"/>
        <v>591372.63</v>
      </c>
    </row>
    <row r="9" spans="1:12" x14ac:dyDescent="0.2">
      <c r="A9" s="20">
        <f>+'Rate Class Customer Model'!A18</f>
        <v>2023</v>
      </c>
      <c r="B9" s="36">
        <f>SUMIF(Inputs!$A$24:$A$143,'Rate Class Load Model'!A9,Inputs!$K$24:$K$143)</f>
        <v>579214.24</v>
      </c>
      <c r="C9" s="36">
        <f>SUMIF(Inputs!$A$24:$A$143,'Rate Class Load Model'!$A$9,Inputs!$Q$24:$Q$143)</f>
        <v>1599.82</v>
      </c>
      <c r="D9" s="36">
        <f>SUMIF(Inputs!$A$24:$A$143,'Rate Class Load Model'!A9,Inputs!$T$24:$T$143)</f>
        <v>4370.1400000000003</v>
      </c>
      <c r="E9" s="36">
        <f>SUMIF(Inputs!A$24:A$143,'Rate Class Load Model'!A9,Inputs!W$24:W$143)</f>
        <v>14942.19</v>
      </c>
      <c r="F9" s="45">
        <f t="shared" si="0"/>
        <v>600126.3899999999</v>
      </c>
    </row>
    <row r="10" spans="1:12" x14ac:dyDescent="0.2">
      <c r="A10" s="20">
        <f>+'Rate Class Customer Model'!A19</f>
        <v>2024</v>
      </c>
      <c r="B10" s="36">
        <f>SUMIF(Inputs!$A$24:$A$143,'Rate Class Load Model'!A10,Inputs!$K$24:$K$143)</f>
        <v>577912.13</v>
      </c>
      <c r="C10" s="36">
        <f>SUMIF(Inputs!$A$24:$A$143,'Rate Class Load Model'!$A$10,Inputs!$Q$24:$Q$143)</f>
        <v>1477.68</v>
      </c>
      <c r="D10" s="36">
        <f>SUMIF(Inputs!$A$24:$A$143,'Rate Class Load Model'!A10,Inputs!$T$24:$T$143)</f>
        <v>4442.1400000000003</v>
      </c>
      <c r="E10" s="36">
        <f>SUMIF(Inputs!A$24:A$143,'Rate Class Load Model'!A10,Inputs!W$24:W$143)</f>
        <v>15142.87</v>
      </c>
      <c r="F10" s="45">
        <f t="shared" si="0"/>
        <v>598974.82000000007</v>
      </c>
    </row>
    <row r="11" spans="1:12" x14ac:dyDescent="0.2">
      <c r="A11" s="20">
        <f>+'Rate Class Customer Model'!A20</f>
        <v>2025</v>
      </c>
      <c r="B11" s="36">
        <f>SUMIF(Inputs!$A$24:$A$143,'Rate Class Load Model'!A11,Inputs!$K$24:$K$143)</f>
        <v>567720.46000000008</v>
      </c>
      <c r="C11" s="36">
        <v>1419.38</v>
      </c>
      <c r="D11" s="36">
        <f>SUMIF(Inputs!$A$24:$A$143,'Rate Class Load Model'!A11,Inputs!$T$24:$T$143)</f>
        <v>4393</v>
      </c>
      <c r="E11" s="36">
        <f>SUMIF(Inputs!A$24:A$143,'Rate Class Load Model'!A11,Inputs!W$24:W$143)</f>
        <v>14981</v>
      </c>
      <c r="F11" s="45">
        <f t="shared" si="0"/>
        <v>588513.84000000008</v>
      </c>
    </row>
    <row r="12" spans="1:12" x14ac:dyDescent="0.2">
      <c r="A12" s="20">
        <f>+'Rate Class Customer Model'!A21</f>
        <v>2026</v>
      </c>
      <c r="B12" s="171">
        <f>$B$27*'Rate Class Energy Model'!J32</f>
        <v>564920.39797559869</v>
      </c>
      <c r="C12" s="171">
        <f>$C$27*'Rate Class Energy Model'!L32</f>
        <v>1367.4102681762022</v>
      </c>
      <c r="D12" s="171">
        <f>$D$27*'Rate Class Energy Model'!M32</f>
        <v>4411.9065485222291</v>
      </c>
      <c r="E12" s="171">
        <f>$E$27*'Rate Class Energy Model'!N32</f>
        <v>15117.837287728271</v>
      </c>
      <c r="F12" s="45">
        <f t="shared" si="0"/>
        <v>585817.55208002543</v>
      </c>
      <c r="I12" s="170"/>
      <c r="J12" s="170"/>
      <c r="K12" s="170"/>
      <c r="L12" s="170"/>
    </row>
    <row r="13" spans="1:12" x14ac:dyDescent="0.2">
      <c r="A13" s="20">
        <f>+'Rate Class Customer Model'!A22</f>
        <v>2027</v>
      </c>
      <c r="B13" s="171">
        <f>$B$27*'Rate Class Energy Model'!J33</f>
        <v>561367.95406444289</v>
      </c>
      <c r="C13" s="171">
        <f>$C$27*'Rate Class Energy Model'!L33</f>
        <v>1338.908273976052</v>
      </c>
      <c r="D13" s="171">
        <f>$D$27*'Rate Class Energy Model'!M33</f>
        <v>4448.1566374106551</v>
      </c>
      <c r="E13" s="171">
        <f>$E$27*'Rate Class Energy Model'!N33</f>
        <v>15117.837287728271</v>
      </c>
      <c r="F13" s="45">
        <f t="shared" si="0"/>
        <v>582272.85626355791</v>
      </c>
    </row>
    <row r="14" spans="1:12" x14ac:dyDescent="0.2">
      <c r="A14" s="12"/>
    </row>
    <row r="15" spans="1:12" x14ac:dyDescent="0.2">
      <c r="A15" s="12" t="s">
        <v>30</v>
      </c>
      <c r="B15" s="5"/>
      <c r="C15" s="5"/>
      <c r="D15" s="5"/>
      <c r="E15" s="5"/>
    </row>
    <row r="16" spans="1:12" x14ac:dyDescent="0.2">
      <c r="A16" s="20">
        <f t="shared" ref="A16:A22" si="1">+A2</f>
        <v>2016</v>
      </c>
      <c r="B16" s="49">
        <f>B2/'Rate Class Energy Model'!J3</f>
        <v>3.1211647017546067E-3</v>
      </c>
      <c r="C16" s="49">
        <f>C2/'Rate Class Energy Model'!L3</f>
        <v>3.2573882151149714E-3</v>
      </c>
      <c r="D16" s="49">
        <f>D2/'Rate Class Energy Model'!M3</f>
        <v>2.9701255300224631E-3</v>
      </c>
      <c r="E16" s="49">
        <f>E2/'Rate Class Energy Model'!N3</f>
        <v>2.9216571327417848E-3</v>
      </c>
    </row>
    <row r="17" spans="1:5" x14ac:dyDescent="0.2">
      <c r="A17" s="20">
        <f t="shared" si="1"/>
        <v>2017</v>
      </c>
      <c r="B17" s="49">
        <f>B3/'Rate Class Energy Model'!J4</f>
        <v>3.1636221752032335E-3</v>
      </c>
      <c r="C17" s="49">
        <f>C3/'Rate Class Energy Model'!L4</f>
        <v>3.2289790424752827E-3</v>
      </c>
      <c r="D17" s="49">
        <f>D3/'Rate Class Energy Model'!M4</f>
        <v>3.0222703735129177E-3</v>
      </c>
      <c r="E17" s="49">
        <f>E3/'Rate Class Energy Model'!N4</f>
        <v>2.6218740452242971E-3</v>
      </c>
    </row>
    <row r="18" spans="1:5" x14ac:dyDescent="0.2">
      <c r="A18" s="20">
        <f t="shared" si="1"/>
        <v>2018</v>
      </c>
      <c r="B18" s="49">
        <f>B4/'Rate Class Energy Model'!J5</f>
        <v>3.1143067019504629E-3</v>
      </c>
      <c r="C18" s="49">
        <f>C4/'Rate Class Energy Model'!L5</f>
        <v>3.2197267200109849E-3</v>
      </c>
      <c r="D18" s="49">
        <f>D4/'Rate Class Energy Model'!M5</f>
        <v>3.058745560436834E-3</v>
      </c>
      <c r="E18" s="49">
        <f>E4/'Rate Class Energy Model'!N5</f>
        <v>2.592930072695631E-3</v>
      </c>
    </row>
    <row r="19" spans="1:5" x14ac:dyDescent="0.2">
      <c r="A19" s="20">
        <f t="shared" si="1"/>
        <v>2019</v>
      </c>
      <c r="B19" s="49">
        <f>B5/'Rate Class Energy Model'!J6</f>
        <v>3.0237563286241217E-3</v>
      </c>
      <c r="C19" s="49">
        <f>C5/'Rate Class Energy Model'!L6</f>
        <v>3.2796560602071341E-3</v>
      </c>
      <c r="D19" s="49">
        <f>D5/'Rate Class Energy Model'!M6</f>
        <v>3.0575454886579757E-3</v>
      </c>
      <c r="E19" s="49">
        <f>E5/'Rate Class Energy Model'!N6</f>
        <v>2.5362382520359062E-3</v>
      </c>
    </row>
    <row r="20" spans="1:5" x14ac:dyDescent="0.2">
      <c r="A20" s="20">
        <f t="shared" si="1"/>
        <v>2020</v>
      </c>
      <c r="B20" s="49">
        <f>B6/'Rate Class Energy Model'!J7</f>
        <v>3.1095999826752188E-3</v>
      </c>
      <c r="C20" s="49">
        <f>C6/'Rate Class Energy Model'!L7</f>
        <v>3.2760250624635423E-3</v>
      </c>
      <c r="D20" s="49">
        <f>D6/'Rate Class Energy Model'!M7</f>
        <v>3.0497649280532952E-3</v>
      </c>
      <c r="E20" s="49">
        <f>E6/'Rate Class Energy Model'!N7</f>
        <v>2.694413336439958E-3</v>
      </c>
    </row>
    <row r="21" spans="1:5" x14ac:dyDescent="0.2">
      <c r="A21" s="20">
        <f t="shared" si="1"/>
        <v>2021</v>
      </c>
      <c r="B21" s="49">
        <f>B7/'Rate Class Energy Model'!J8</f>
        <v>3.2249268975021823E-3</v>
      </c>
      <c r="C21" s="49">
        <f>C7/'Rate Class Energy Model'!L8</f>
        <v>3.2877038041479139E-3</v>
      </c>
      <c r="D21" s="49">
        <f>D7/'Rate Class Energy Model'!M8</f>
        <v>3.0568749894034578E-3</v>
      </c>
      <c r="E21" s="49">
        <f>E7/'Rate Class Energy Model'!N8</f>
        <v>2.6809314318682535E-3</v>
      </c>
    </row>
    <row r="22" spans="1:5" x14ac:dyDescent="0.2">
      <c r="A22" s="20">
        <f t="shared" si="1"/>
        <v>2022</v>
      </c>
      <c r="B22" s="49">
        <f>B8/'Rate Class Energy Model'!J9</f>
        <v>3.169368026209192E-3</v>
      </c>
      <c r="C22" s="49">
        <f>C8/'Rate Class Energy Model'!L9</f>
        <v>3.2743299737732242E-3</v>
      </c>
      <c r="D22" s="49">
        <f>D8/'Rate Class Energy Model'!M9</f>
        <v>3.0570842467411061E-3</v>
      </c>
      <c r="E22" s="49">
        <f>E8/'Rate Class Energy Model'!N9</f>
        <v>2.7221483108883474E-3</v>
      </c>
    </row>
    <row r="23" spans="1:5" x14ac:dyDescent="0.2">
      <c r="A23" s="20">
        <v>2023</v>
      </c>
      <c r="B23" s="49">
        <f>B9/'Rate Class Energy Model'!J10</f>
        <v>3.1904485288327998E-3</v>
      </c>
      <c r="C23" s="49">
        <f>C9/'Rate Class Energy Model'!L10</f>
        <v>3.2506322784765888E-3</v>
      </c>
      <c r="D23" s="49">
        <f>D9/'Rate Class Energy Model'!M10</f>
        <v>3.0551578850819259E-3</v>
      </c>
      <c r="E23" s="49">
        <f>E9/'Rate Class Energy Model'!N10</f>
        <v>2.7070940421369829E-3</v>
      </c>
    </row>
    <row r="24" spans="1:5" x14ac:dyDescent="0.2">
      <c r="A24" s="20">
        <v>2024</v>
      </c>
      <c r="B24" s="49">
        <f>B10/'Rate Class Energy Model'!J11</f>
        <v>3.1365163661427856E-3</v>
      </c>
      <c r="C24" s="49">
        <f>C10/'Rate Class Energy Model'!L11</f>
        <v>3.2787921207453235E-3</v>
      </c>
      <c r="D24" s="49">
        <f>D10/'Rate Class Energy Model'!M11</f>
        <v>3.0488339514531527E-3</v>
      </c>
      <c r="E24" s="49">
        <f>E10/'Rate Class Energy Model'!N11</f>
        <v>2.684693066519321E-3</v>
      </c>
    </row>
    <row r="25" spans="1:5" x14ac:dyDescent="0.2">
      <c r="A25" s="20">
        <v>2025</v>
      </c>
      <c r="B25" s="49">
        <f>B11/'Rate Class Energy Model'!J12</f>
        <v>3.0635591977561001E-3</v>
      </c>
      <c r="C25" s="49">
        <f>C11/'Rate Class Energy Model'!L12</f>
        <v>3.3209009468189339E-3</v>
      </c>
      <c r="D25" s="49">
        <f>D11/'Rate Class Energy Model'!M12</f>
        <v>3.0549955111350297E-3</v>
      </c>
      <c r="E25" s="49">
        <f>E11/'Rate Class Energy Model'!N12</f>
        <v>2.657691628679809E-3</v>
      </c>
    </row>
    <row r="27" spans="1:5" x14ac:dyDescent="0.2">
      <c r="A27" s="39" t="s">
        <v>29</v>
      </c>
      <c r="B27" s="18">
        <f>B29</f>
        <v>3.1317268906650708E-3</v>
      </c>
      <c r="C27" s="18">
        <f>C29</f>
        <v>3.2674134224233904E-3</v>
      </c>
      <c r="D27" s="18">
        <f>D29</f>
        <v>3.0431398464498159E-3</v>
      </c>
      <c r="E27" s="18">
        <f>E29</f>
        <v>2.6819671319230289E-3</v>
      </c>
    </row>
    <row r="29" spans="1:5" x14ac:dyDescent="0.2">
      <c r="A29" t="s">
        <v>9</v>
      </c>
      <c r="B29" s="18">
        <f>AVERAGE(B16:B25)</f>
        <v>3.1317268906650708E-3</v>
      </c>
      <c r="C29" s="18">
        <f t="shared" ref="C29:E29" si="2">AVERAGE(C16:C25)</f>
        <v>3.2674134224233904E-3</v>
      </c>
      <c r="D29" s="18">
        <f t="shared" si="2"/>
        <v>3.0431398464498159E-3</v>
      </c>
      <c r="E29" s="18">
        <f t="shared" si="2"/>
        <v>2.6819671319230289E-3</v>
      </c>
    </row>
    <row r="32" spans="1:5" x14ac:dyDescent="0.2">
      <c r="B32" s="55"/>
      <c r="C32" s="55"/>
      <c r="D32" s="55"/>
      <c r="E32" s="55"/>
    </row>
    <row r="34" spans="2:5" x14ac:dyDescent="0.2">
      <c r="B34" s="17"/>
      <c r="C34" s="17"/>
      <c r="D34" s="17"/>
      <c r="E34" s="17"/>
    </row>
    <row r="35" spans="2:5" x14ac:dyDescent="0.2">
      <c r="B35" s="17"/>
      <c r="C35" s="17"/>
      <c r="D35" s="17"/>
      <c r="E35" s="17"/>
    </row>
    <row r="54" spans="2:5" x14ac:dyDescent="0.2">
      <c r="B54" s="11"/>
      <c r="C54" s="11"/>
      <c r="D54" s="11"/>
      <c r="E54" s="11"/>
    </row>
    <row r="55" spans="2:5" x14ac:dyDescent="0.2">
      <c r="B55" s="11"/>
      <c r="C55" s="11"/>
      <c r="D55" s="11"/>
      <c r="E55" s="11"/>
    </row>
  </sheetData>
  <phoneticPr fontId="0" type="noConversion"/>
  <pageMargins left="0.38" right="0.75" top="0.73" bottom="0.74" header="0.5" footer="0.5"/>
  <pageSetup orientation="landscape" r:id="rId1"/>
  <headerFooter alignWithMargins="0">
    <oddFooter>&amp;L&amp;Z&amp;F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90929-9823-41F9-8213-8570A643B1E5}">
  <sheetPr>
    <pageSetUpPr fitToPage="1"/>
  </sheetPr>
  <dimension ref="A1:R43"/>
  <sheetViews>
    <sheetView view="pageBreakPreview" zoomScaleNormal="100" zoomScaleSheetLayoutView="100" workbookViewId="0">
      <selection activeCell="C22" sqref="C22"/>
    </sheetView>
  </sheetViews>
  <sheetFormatPr defaultRowHeight="12.75" x14ac:dyDescent="0.2"/>
  <cols>
    <col min="12" max="12" width="13.7109375" hidden="1" customWidth="1"/>
    <col min="13" max="13" width="9.7109375" bestFit="1" customWidth="1"/>
    <col min="15" max="15" width="8.85546875" customWidth="1"/>
  </cols>
  <sheetData>
    <row r="1" spans="1:13" x14ac:dyDescent="0.2">
      <c r="A1" s="12" t="s">
        <v>96</v>
      </c>
      <c r="F1" s="39" t="s">
        <v>138</v>
      </c>
    </row>
    <row r="2" spans="1:13" x14ac:dyDescent="0.2">
      <c r="A2" s="128"/>
    </row>
    <row r="3" spans="1:13" x14ac:dyDescent="0.2">
      <c r="A3" s="129" t="s">
        <v>97</v>
      </c>
    </row>
    <row r="4" spans="1:13" x14ac:dyDescent="0.2">
      <c r="A4" s="130"/>
    </row>
    <row r="5" spans="1:13" x14ac:dyDescent="0.2">
      <c r="A5" s="131" t="s">
        <v>77</v>
      </c>
      <c r="B5" s="131">
        <v>2016</v>
      </c>
      <c r="C5" s="131">
        <v>2017</v>
      </c>
      <c r="D5" s="131">
        <v>2018</v>
      </c>
      <c r="E5" s="131">
        <v>2019</v>
      </c>
      <c r="F5" s="131">
        <v>2020</v>
      </c>
      <c r="G5" s="131">
        <v>2021</v>
      </c>
      <c r="H5" s="131">
        <v>2022</v>
      </c>
      <c r="I5" s="131">
        <v>2023</v>
      </c>
      <c r="J5" s="131">
        <v>2024</v>
      </c>
      <c r="K5" s="131">
        <v>2025</v>
      </c>
      <c r="L5" s="132" t="s">
        <v>139</v>
      </c>
      <c r="M5" s="132" t="s">
        <v>98</v>
      </c>
    </row>
    <row r="6" spans="1:13" x14ac:dyDescent="0.2">
      <c r="A6" s="130"/>
    </row>
    <row r="7" spans="1:13" x14ac:dyDescent="0.2">
      <c r="A7" s="133"/>
    </row>
    <row r="8" spans="1:13" x14ac:dyDescent="0.2">
      <c r="A8" s="133" t="s">
        <v>52</v>
      </c>
      <c r="B8" s="133">
        <v>419</v>
      </c>
      <c r="C8" s="133">
        <v>467.9</v>
      </c>
      <c r="D8" s="133">
        <v>567.1</v>
      </c>
      <c r="E8" s="133">
        <v>706.7</v>
      </c>
      <c r="F8" s="133">
        <v>580</v>
      </c>
      <c r="G8" s="133">
        <v>578.29999999999995</v>
      </c>
      <c r="H8" s="133">
        <v>318.3</v>
      </c>
      <c r="I8" s="133">
        <v>277</v>
      </c>
      <c r="J8" s="133">
        <v>414.5</v>
      </c>
      <c r="K8" s="133">
        <v>592.9</v>
      </c>
      <c r="L8" s="135">
        <f>AVERAGE(B8:J8)</f>
        <v>480.97777777777782</v>
      </c>
      <c r="M8" s="135">
        <f>AVERAGE(B8:K8)</f>
        <v>492.16999999999996</v>
      </c>
    </row>
    <row r="9" spans="1:13" x14ac:dyDescent="0.2">
      <c r="A9" s="133" t="s">
        <v>53</v>
      </c>
      <c r="B9" s="133">
        <v>260</v>
      </c>
      <c r="C9" s="133">
        <v>396.4</v>
      </c>
      <c r="D9" s="133">
        <v>192.7</v>
      </c>
      <c r="E9" s="133">
        <v>552.20000000000005</v>
      </c>
      <c r="F9" s="133">
        <v>544.9</v>
      </c>
      <c r="G9" s="133">
        <v>587.4</v>
      </c>
      <c r="H9" s="133">
        <v>458.7</v>
      </c>
      <c r="I9" s="133">
        <v>333.3</v>
      </c>
      <c r="J9" s="133">
        <v>354.1</v>
      </c>
      <c r="K9" s="133">
        <v>523.9</v>
      </c>
      <c r="L9" s="135">
        <f t="shared" ref="L9:L19" si="0">AVERAGE(B9:J9)</f>
        <v>408.85555555555555</v>
      </c>
      <c r="M9" s="135">
        <f t="shared" ref="M9:M19" si="1">AVERAGE(B9:K9)</f>
        <v>420.35999999999996</v>
      </c>
    </row>
    <row r="10" spans="1:13" x14ac:dyDescent="0.2">
      <c r="A10" s="133" t="s">
        <v>54</v>
      </c>
      <c r="B10" s="133">
        <v>189</v>
      </c>
      <c r="C10" s="130">
        <v>407.5</v>
      </c>
      <c r="D10" s="133">
        <v>287</v>
      </c>
      <c r="E10" s="133">
        <v>505.4</v>
      </c>
      <c r="F10" s="133">
        <v>381.5</v>
      </c>
      <c r="G10" s="133">
        <v>434.8</v>
      </c>
      <c r="H10" s="133">
        <v>284.2</v>
      </c>
      <c r="I10" s="133">
        <v>395.4</v>
      </c>
      <c r="J10" s="133">
        <v>382.4</v>
      </c>
      <c r="K10" s="133">
        <v>351.9</v>
      </c>
      <c r="L10" s="135">
        <f t="shared" si="0"/>
        <v>363.02222222222224</v>
      </c>
      <c r="M10" s="135">
        <f t="shared" si="1"/>
        <v>361.91</v>
      </c>
    </row>
    <row r="11" spans="1:13" x14ac:dyDescent="0.2">
      <c r="A11" s="133" t="s">
        <v>55</v>
      </c>
      <c r="B11" s="133">
        <v>157.4</v>
      </c>
      <c r="C11" s="133">
        <v>196.3</v>
      </c>
      <c r="D11" s="133">
        <v>260.60000000000002</v>
      </c>
      <c r="E11" s="133">
        <v>362.5</v>
      </c>
      <c r="F11" s="133">
        <v>298.60000000000002</v>
      </c>
      <c r="G11" s="133">
        <v>307.3</v>
      </c>
      <c r="H11" s="133">
        <v>224</v>
      </c>
      <c r="I11" s="133">
        <v>191.8</v>
      </c>
      <c r="J11" s="133">
        <v>210.3</v>
      </c>
      <c r="K11" s="133">
        <v>287.10000000000002</v>
      </c>
      <c r="L11" s="135">
        <f t="shared" si="0"/>
        <v>245.42222222222225</v>
      </c>
      <c r="M11" s="135">
        <f t="shared" si="1"/>
        <v>249.59</v>
      </c>
    </row>
    <row r="12" spans="1:13" x14ac:dyDescent="0.2">
      <c r="A12" s="133" t="s">
        <v>31</v>
      </c>
      <c r="B12" s="133">
        <v>84.5</v>
      </c>
      <c r="C12" s="133">
        <v>132.19999999999999</v>
      </c>
      <c r="D12" s="133">
        <v>78.099999999999994</v>
      </c>
      <c r="E12" s="133">
        <v>167.4</v>
      </c>
      <c r="F12" s="133">
        <v>116.6</v>
      </c>
      <c r="G12" s="133">
        <v>152.4</v>
      </c>
      <c r="H12" s="133">
        <v>68.900000000000006</v>
      </c>
      <c r="I12" s="133">
        <v>75.599999999999994</v>
      </c>
      <c r="J12" s="133">
        <v>58.5</v>
      </c>
      <c r="K12" s="133">
        <v>138.19999999999999</v>
      </c>
      <c r="L12" s="135">
        <f t="shared" si="0"/>
        <v>103.8</v>
      </c>
      <c r="M12" s="135">
        <f t="shared" si="1"/>
        <v>107.23999999999998</v>
      </c>
    </row>
    <row r="13" spans="1:13" x14ac:dyDescent="0.2">
      <c r="A13" s="133" t="s">
        <v>56</v>
      </c>
      <c r="B13" s="133">
        <v>19.7</v>
      </c>
      <c r="C13" s="133">
        <v>10.8</v>
      </c>
      <c r="D13" s="133">
        <v>11.2</v>
      </c>
      <c r="E13" s="133">
        <v>37.200000000000003</v>
      </c>
      <c r="F13" s="133">
        <v>12.7</v>
      </c>
      <c r="G13" s="133">
        <v>9.1</v>
      </c>
      <c r="H13" s="133">
        <v>12.7</v>
      </c>
      <c r="I13" s="133">
        <v>16.100000000000001</v>
      </c>
      <c r="J13" s="133">
        <v>19.7</v>
      </c>
      <c r="K13" s="133">
        <v>11.7</v>
      </c>
      <c r="L13" s="135">
        <f t="shared" si="0"/>
        <v>16.577777777777776</v>
      </c>
      <c r="M13" s="135">
        <f t="shared" si="1"/>
        <v>16.089999999999996</v>
      </c>
    </row>
    <row r="14" spans="1:13" x14ac:dyDescent="0.2">
      <c r="A14" s="133" t="s">
        <v>57</v>
      </c>
      <c r="B14" s="133">
        <v>1</v>
      </c>
      <c r="C14" s="133">
        <v>0</v>
      </c>
      <c r="D14" s="133">
        <v>0</v>
      </c>
      <c r="E14" s="133">
        <v>0</v>
      </c>
      <c r="F14" s="133">
        <v>0</v>
      </c>
      <c r="G14" s="133">
        <v>4</v>
      </c>
      <c r="H14" s="133">
        <v>0</v>
      </c>
      <c r="I14" s="133">
        <v>0</v>
      </c>
      <c r="J14" s="133">
        <v>1.5</v>
      </c>
      <c r="K14" s="133">
        <v>0</v>
      </c>
      <c r="L14" s="135">
        <f t="shared" si="0"/>
        <v>0.72222222222222221</v>
      </c>
      <c r="M14" s="135">
        <f t="shared" si="1"/>
        <v>0.65</v>
      </c>
    </row>
    <row r="15" spans="1:13" x14ac:dyDescent="0.2">
      <c r="A15" s="133" t="s">
        <v>58</v>
      </c>
      <c r="B15" s="133">
        <v>0</v>
      </c>
      <c r="C15" s="133">
        <v>2.7</v>
      </c>
      <c r="D15" s="133">
        <v>0</v>
      </c>
      <c r="E15" s="133">
        <v>2</v>
      </c>
      <c r="F15" s="133">
        <v>0</v>
      </c>
      <c r="G15" s="133">
        <v>0</v>
      </c>
      <c r="H15" s="133">
        <v>0</v>
      </c>
      <c r="I15" s="133">
        <v>5</v>
      </c>
      <c r="J15" s="133">
        <v>6.6</v>
      </c>
      <c r="K15" s="133">
        <v>16.3</v>
      </c>
      <c r="L15" s="135">
        <f>AVERAGE(B15:K15)</f>
        <v>3.2599999999999993</v>
      </c>
      <c r="M15" s="135">
        <f t="shared" si="1"/>
        <v>3.2599999999999993</v>
      </c>
    </row>
    <row r="16" spans="1:13" x14ac:dyDescent="0.2">
      <c r="A16" s="133" t="s">
        <v>59</v>
      </c>
      <c r="B16" s="133">
        <v>12.5</v>
      </c>
      <c r="C16" s="133">
        <v>24.1</v>
      </c>
      <c r="D16" s="133">
        <v>34</v>
      </c>
      <c r="E16" s="133">
        <v>44.5</v>
      </c>
      <c r="F16" s="133">
        <v>65.3</v>
      </c>
      <c r="G16" s="133">
        <v>20.399999999999999</v>
      </c>
      <c r="H16" s="133">
        <v>40.299999999999997</v>
      </c>
      <c r="I16" s="133">
        <v>23.9</v>
      </c>
      <c r="J16" s="133">
        <v>13.6</v>
      </c>
      <c r="K16" s="133">
        <v>8.1999999999999993</v>
      </c>
      <c r="L16" s="135">
        <f>AVERAGE(B16:K16)</f>
        <v>28.679999999999996</v>
      </c>
      <c r="M16" s="135">
        <f t="shared" si="1"/>
        <v>28.679999999999996</v>
      </c>
    </row>
    <row r="17" spans="1:18" x14ac:dyDescent="0.2">
      <c r="A17" s="133" t="s">
        <v>60</v>
      </c>
      <c r="B17" s="133">
        <v>118.3</v>
      </c>
      <c r="C17" s="133">
        <v>66.599999999999994</v>
      </c>
      <c r="D17" s="133">
        <v>167.6</v>
      </c>
      <c r="E17" s="133">
        <v>188.6</v>
      </c>
      <c r="F17" s="133">
        <v>197.5</v>
      </c>
      <c r="G17" s="133">
        <v>60.8</v>
      </c>
      <c r="H17" s="133">
        <v>167.4</v>
      </c>
      <c r="I17" s="133">
        <v>156.19999999999999</v>
      </c>
      <c r="J17" s="133">
        <v>153.69999999999999</v>
      </c>
      <c r="K17" s="133">
        <v>140.80000000000001</v>
      </c>
      <c r="L17" s="135">
        <f t="shared" si="0"/>
        <v>141.85555555555555</v>
      </c>
      <c r="M17" s="135">
        <f t="shared" si="1"/>
        <v>141.75</v>
      </c>
    </row>
    <row r="18" spans="1:18" x14ac:dyDescent="0.2">
      <c r="A18" s="133" t="s">
        <v>61</v>
      </c>
      <c r="B18" s="133">
        <v>275.2</v>
      </c>
      <c r="C18" s="133">
        <v>276.8</v>
      </c>
      <c r="D18" s="133">
        <v>420.5</v>
      </c>
      <c r="E18" s="133">
        <v>413.3</v>
      </c>
      <c r="F18" s="133">
        <v>248.1</v>
      </c>
      <c r="G18" s="133">
        <v>337.4</v>
      </c>
      <c r="H18" s="133">
        <v>160.1</v>
      </c>
      <c r="I18" s="133">
        <v>282.2</v>
      </c>
      <c r="J18" s="133">
        <v>303</v>
      </c>
      <c r="K18" s="133">
        <v>331.2</v>
      </c>
      <c r="L18" s="135">
        <f>AVERAGE(B18:K18)</f>
        <v>304.77999999999992</v>
      </c>
      <c r="M18" s="135">
        <f t="shared" si="1"/>
        <v>304.77999999999992</v>
      </c>
    </row>
    <row r="19" spans="1:18" x14ac:dyDescent="0.2">
      <c r="A19" s="133" t="s">
        <v>62</v>
      </c>
      <c r="B19" s="130">
        <v>408.3</v>
      </c>
      <c r="C19" s="133">
        <v>570.5</v>
      </c>
      <c r="D19" s="133">
        <v>486.8</v>
      </c>
      <c r="E19" s="133">
        <v>536.6</v>
      </c>
      <c r="F19" s="133">
        <v>544.79999999999995</v>
      </c>
      <c r="G19" s="133">
        <v>376.6</v>
      </c>
      <c r="H19" s="133">
        <v>277.39999999999998</v>
      </c>
      <c r="I19" s="133">
        <v>363</v>
      </c>
      <c r="J19" s="133">
        <v>524.1</v>
      </c>
      <c r="K19" s="133">
        <v>512.5</v>
      </c>
      <c r="L19" s="135">
        <f t="shared" si="0"/>
        <v>454.23333333333335</v>
      </c>
      <c r="M19" s="135">
        <f t="shared" si="1"/>
        <v>460.06000000000006</v>
      </c>
    </row>
    <row r="20" spans="1:18" x14ac:dyDescent="0.2">
      <c r="A20" s="133" t="s">
        <v>7</v>
      </c>
      <c r="B20" s="134">
        <f t="shared" ref="B20:J20" si="2">SUM(B8:B19)</f>
        <v>1944.9</v>
      </c>
      <c r="C20" s="134">
        <f t="shared" si="2"/>
        <v>2551.7999999999997</v>
      </c>
      <c r="D20" s="134">
        <f t="shared" si="2"/>
        <v>2505.6</v>
      </c>
      <c r="E20" s="134">
        <f t="shared" si="2"/>
        <v>3516.4</v>
      </c>
      <c r="F20" s="134">
        <f t="shared" si="2"/>
        <v>2990</v>
      </c>
      <c r="G20" s="134">
        <f t="shared" si="2"/>
        <v>2868.5</v>
      </c>
      <c r="H20" s="134">
        <f t="shared" si="2"/>
        <v>2012</v>
      </c>
      <c r="I20" s="134">
        <f t="shared" si="2"/>
        <v>2119.5</v>
      </c>
      <c r="J20" s="134">
        <f t="shared" si="2"/>
        <v>2442</v>
      </c>
      <c r="K20" s="134">
        <f>SUM(K8:K19)</f>
        <v>2914.7</v>
      </c>
      <c r="L20" s="134">
        <f t="shared" ref="L20:M20" si="3">SUM(L8:L19)</f>
        <v>2552.1866666666665</v>
      </c>
      <c r="M20" s="134">
        <f t="shared" si="3"/>
        <v>2586.54</v>
      </c>
    </row>
    <row r="21" spans="1:18" x14ac:dyDescent="0.2">
      <c r="B21" s="170"/>
      <c r="C21" s="170"/>
      <c r="D21" s="170"/>
      <c r="E21" s="170"/>
      <c r="F21" s="170"/>
      <c r="G21" s="170"/>
      <c r="H21" s="170"/>
      <c r="I21" s="170"/>
      <c r="J21" s="170"/>
      <c r="K21" s="170"/>
    </row>
    <row r="22" spans="1:18" x14ac:dyDescent="0.2">
      <c r="A22" s="129" t="s">
        <v>99</v>
      </c>
    </row>
    <row r="23" spans="1:18" x14ac:dyDescent="0.2">
      <c r="A23" s="130"/>
    </row>
    <row r="24" spans="1:18" x14ac:dyDescent="0.2">
      <c r="A24" s="131" t="s">
        <v>77</v>
      </c>
      <c r="B24" s="131">
        <v>2016</v>
      </c>
      <c r="C24" s="131">
        <v>2017</v>
      </c>
      <c r="D24" s="131">
        <v>2018</v>
      </c>
      <c r="E24" s="131">
        <v>2019</v>
      </c>
      <c r="F24" s="131">
        <v>2020</v>
      </c>
      <c r="G24" s="131">
        <v>2021</v>
      </c>
      <c r="H24" s="131">
        <v>2022</v>
      </c>
      <c r="I24" s="131">
        <v>2023</v>
      </c>
      <c r="J24" s="131">
        <v>2024</v>
      </c>
      <c r="K24" s="131">
        <v>2025</v>
      </c>
      <c r="L24" s="132" t="s">
        <v>139</v>
      </c>
      <c r="M24" s="132" t="s">
        <v>98</v>
      </c>
    </row>
    <row r="25" spans="1:18" x14ac:dyDescent="0.2">
      <c r="A25" s="130"/>
      <c r="L25" s="136"/>
      <c r="M25" s="136"/>
    </row>
    <row r="26" spans="1:18" x14ac:dyDescent="0.2">
      <c r="L26" s="136"/>
      <c r="M26" s="136"/>
    </row>
    <row r="27" spans="1:18" x14ac:dyDescent="0.2">
      <c r="A27" s="133" t="s">
        <v>52</v>
      </c>
      <c r="B27" s="133">
        <v>0</v>
      </c>
      <c r="C27" s="133">
        <v>0</v>
      </c>
      <c r="D27" s="133">
        <v>0</v>
      </c>
      <c r="E27" s="133">
        <v>0</v>
      </c>
      <c r="F27" s="133">
        <v>0</v>
      </c>
      <c r="G27" s="133">
        <v>0</v>
      </c>
      <c r="H27" s="133">
        <v>0</v>
      </c>
      <c r="I27" s="133">
        <v>0</v>
      </c>
      <c r="J27" s="133">
        <v>0</v>
      </c>
      <c r="K27" s="133">
        <v>0</v>
      </c>
      <c r="L27" s="135">
        <f>AVERAGE(B27:J27)</f>
        <v>0</v>
      </c>
      <c r="M27" s="135">
        <f>AVERAGE(B27:K27)</f>
        <v>0</v>
      </c>
      <c r="Q27" s="134"/>
      <c r="R27" s="134"/>
    </row>
    <row r="28" spans="1:18" x14ac:dyDescent="0.2">
      <c r="A28" s="133" t="s">
        <v>53</v>
      </c>
      <c r="B28" s="133">
        <v>0</v>
      </c>
      <c r="C28" s="133">
        <v>0</v>
      </c>
      <c r="D28" s="133">
        <v>0</v>
      </c>
      <c r="E28" s="133">
        <v>0</v>
      </c>
      <c r="F28" s="133">
        <v>0</v>
      </c>
      <c r="G28" s="133">
        <v>0</v>
      </c>
      <c r="H28" s="133">
        <v>0</v>
      </c>
      <c r="I28" s="133">
        <v>0</v>
      </c>
      <c r="J28" s="133">
        <v>0</v>
      </c>
      <c r="K28" s="133">
        <v>0</v>
      </c>
      <c r="L28" s="135">
        <f t="shared" ref="L28:L38" si="4">AVERAGE(B28:J28)</f>
        <v>0</v>
      </c>
      <c r="M28" s="135">
        <f t="shared" ref="M28:M38" si="5">AVERAGE(B28:K28)</f>
        <v>0</v>
      </c>
      <c r="Q28" s="134"/>
      <c r="R28" s="134"/>
    </row>
    <row r="29" spans="1:18" x14ac:dyDescent="0.2">
      <c r="A29" s="133" t="s">
        <v>54</v>
      </c>
      <c r="B29" s="133">
        <v>0</v>
      </c>
      <c r="C29" s="130">
        <v>0</v>
      </c>
      <c r="D29" s="133">
        <v>0</v>
      </c>
      <c r="E29" s="133">
        <v>0</v>
      </c>
      <c r="F29" s="133">
        <v>0</v>
      </c>
      <c r="G29" s="133">
        <v>0</v>
      </c>
      <c r="H29" s="133">
        <v>0</v>
      </c>
      <c r="I29" s="133">
        <v>0</v>
      </c>
      <c r="J29" s="133">
        <v>0</v>
      </c>
      <c r="K29" s="133">
        <v>0</v>
      </c>
      <c r="L29" s="135">
        <f t="shared" si="4"/>
        <v>0</v>
      </c>
      <c r="M29" s="135">
        <f t="shared" si="5"/>
        <v>0</v>
      </c>
      <c r="Q29" s="134"/>
      <c r="R29" s="134"/>
    </row>
    <row r="30" spans="1:18" x14ac:dyDescent="0.2">
      <c r="A30" s="133" t="s">
        <v>55</v>
      </c>
      <c r="B30" s="133">
        <v>0</v>
      </c>
      <c r="C30" s="133">
        <v>2</v>
      </c>
      <c r="D30" s="133">
        <v>0</v>
      </c>
      <c r="E30" s="133">
        <v>0</v>
      </c>
      <c r="F30" s="133">
        <v>0</v>
      </c>
      <c r="G30" s="133">
        <v>0</v>
      </c>
      <c r="H30" s="133">
        <v>0</v>
      </c>
      <c r="I30" s="133">
        <v>0</v>
      </c>
      <c r="J30" s="133">
        <v>0</v>
      </c>
      <c r="K30" s="133">
        <v>0</v>
      </c>
      <c r="L30" s="135">
        <f t="shared" si="4"/>
        <v>0.22222222222222221</v>
      </c>
      <c r="M30" s="135">
        <f t="shared" si="5"/>
        <v>0.2</v>
      </c>
      <c r="Q30" s="134"/>
      <c r="R30" s="134"/>
    </row>
    <row r="31" spans="1:18" x14ac:dyDescent="0.2">
      <c r="A31" s="133" t="s">
        <v>31</v>
      </c>
      <c r="B31" s="133">
        <v>25</v>
      </c>
      <c r="C31" s="133">
        <v>7</v>
      </c>
      <c r="D31" s="133">
        <v>28.4</v>
      </c>
      <c r="E31" s="133">
        <v>1.8</v>
      </c>
      <c r="F31" s="133">
        <v>18.3</v>
      </c>
      <c r="G31" s="133">
        <v>14.5</v>
      </c>
      <c r="H31" s="133">
        <v>11.8</v>
      </c>
      <c r="I31" s="133">
        <v>1.5</v>
      </c>
      <c r="J31" s="133">
        <v>10</v>
      </c>
      <c r="K31" s="133">
        <v>4.0999999999999996</v>
      </c>
      <c r="L31" s="135">
        <f t="shared" si="4"/>
        <v>13.144444444444444</v>
      </c>
      <c r="M31" s="135">
        <f t="shared" si="5"/>
        <v>12.239999999999998</v>
      </c>
      <c r="Q31" s="134"/>
      <c r="R31" s="134"/>
    </row>
    <row r="32" spans="1:18" x14ac:dyDescent="0.2">
      <c r="A32" s="133" t="s">
        <v>56</v>
      </c>
      <c r="B32" s="133">
        <v>71.7</v>
      </c>
      <c r="C32" s="133">
        <v>58.6</v>
      </c>
      <c r="D32" s="133">
        <v>52.8</v>
      </c>
      <c r="E32" s="133">
        <v>36.799999999999997</v>
      </c>
      <c r="F32" s="133">
        <v>38.1</v>
      </c>
      <c r="G32" s="133">
        <v>45.8</v>
      </c>
      <c r="H32" s="133">
        <v>21.4</v>
      </c>
      <c r="I32" s="133">
        <v>47.4</v>
      </c>
      <c r="J32" s="133">
        <v>77.7</v>
      </c>
      <c r="K32" s="133">
        <v>73.8</v>
      </c>
      <c r="L32" s="135">
        <f t="shared" si="4"/>
        <v>50.033333333333331</v>
      </c>
      <c r="M32" s="135">
        <f t="shared" si="5"/>
        <v>52.410000000000004</v>
      </c>
      <c r="Q32" s="134"/>
      <c r="R32" s="134"/>
    </row>
    <row r="33" spans="1:18" x14ac:dyDescent="0.2">
      <c r="A33" s="133" t="s">
        <v>57</v>
      </c>
      <c r="B33" s="133">
        <v>111.4</v>
      </c>
      <c r="C33" s="133">
        <v>67.8</v>
      </c>
      <c r="D33" s="133">
        <v>142.30000000000001</v>
      </c>
      <c r="E33" s="133">
        <v>150.5</v>
      </c>
      <c r="F33" s="133">
        <v>149.80000000000001</v>
      </c>
      <c r="G33" s="133">
        <v>77.5</v>
      </c>
      <c r="H33" s="133">
        <v>97.7</v>
      </c>
      <c r="I33" s="133">
        <v>66</v>
      </c>
      <c r="J33" s="133">
        <v>118.4</v>
      </c>
      <c r="K33" s="133">
        <v>143.19999999999999</v>
      </c>
      <c r="L33" s="135">
        <f t="shared" si="4"/>
        <v>109.04444444444444</v>
      </c>
      <c r="M33" s="135">
        <f t="shared" si="5"/>
        <v>112.46</v>
      </c>
      <c r="Q33" s="134"/>
      <c r="R33" s="134"/>
    </row>
    <row r="34" spans="1:18" x14ac:dyDescent="0.2">
      <c r="A34" s="133" t="s">
        <v>58</v>
      </c>
      <c r="B34" s="133">
        <v>150.69999999999999</v>
      </c>
      <c r="C34" s="133">
        <v>80.599999999999994</v>
      </c>
      <c r="D34" s="133">
        <v>160.80000000000001</v>
      </c>
      <c r="E34" s="133">
        <v>92.2</v>
      </c>
      <c r="F34" s="133">
        <v>115.1</v>
      </c>
      <c r="G34" s="133">
        <v>182.6</v>
      </c>
      <c r="H34" s="133">
        <v>124.5</v>
      </c>
      <c r="I34" s="133">
        <v>31.9</v>
      </c>
      <c r="J34" s="133">
        <v>106.7</v>
      </c>
      <c r="K34" s="133">
        <v>79.5</v>
      </c>
      <c r="L34" s="135">
        <f>AVERAGE(B34:K34)</f>
        <v>112.46</v>
      </c>
      <c r="M34" s="135">
        <f t="shared" si="5"/>
        <v>112.46</v>
      </c>
      <c r="Q34" s="134"/>
      <c r="R34" s="134"/>
    </row>
    <row r="35" spans="1:18" x14ac:dyDescent="0.2">
      <c r="A35" s="133" t="s">
        <v>59</v>
      </c>
      <c r="B35" s="133">
        <v>60.3</v>
      </c>
      <c r="C35" s="133">
        <v>36</v>
      </c>
      <c r="D35" s="133">
        <v>70.8</v>
      </c>
      <c r="E35" s="133">
        <v>18.2</v>
      </c>
      <c r="F35" s="133">
        <v>34.799999999999997</v>
      </c>
      <c r="G35" s="133">
        <v>50.1</v>
      </c>
      <c r="H35" s="133">
        <v>40.200000000000003</v>
      </c>
      <c r="I35" s="133">
        <v>27.1</v>
      </c>
      <c r="J35" s="133">
        <v>71.2</v>
      </c>
      <c r="K35" s="133">
        <v>31.4</v>
      </c>
      <c r="L35" s="135">
        <f>AVERAGE(B35:K35)</f>
        <v>44.01</v>
      </c>
      <c r="M35" s="135">
        <f t="shared" si="5"/>
        <v>44.01</v>
      </c>
      <c r="Q35" s="134"/>
      <c r="R35" s="134"/>
    </row>
    <row r="36" spans="1:18" x14ac:dyDescent="0.2">
      <c r="A36" s="133" t="s">
        <v>60</v>
      </c>
      <c r="B36" s="133">
        <v>4</v>
      </c>
      <c r="C36" s="133">
        <v>13.1</v>
      </c>
      <c r="D36" s="133">
        <v>12.5</v>
      </c>
      <c r="E36" s="133">
        <v>2.2999999999999998</v>
      </c>
      <c r="F36" s="133">
        <v>0</v>
      </c>
      <c r="G36" s="133">
        <v>10.6</v>
      </c>
      <c r="H36" s="133">
        <v>0</v>
      </c>
      <c r="I36" s="133">
        <v>9.6</v>
      </c>
      <c r="J36" s="133">
        <v>3.3</v>
      </c>
      <c r="K36" s="133">
        <v>9.9</v>
      </c>
      <c r="L36" s="135">
        <f>AVERAGE(B36:K36)</f>
        <v>6.5299999999999994</v>
      </c>
      <c r="M36" s="135">
        <f t="shared" si="5"/>
        <v>6.5299999999999994</v>
      </c>
      <c r="Q36" s="134"/>
      <c r="R36" s="134"/>
    </row>
    <row r="37" spans="1:18" x14ac:dyDescent="0.2">
      <c r="A37" s="133" t="s">
        <v>61</v>
      </c>
      <c r="B37" s="130">
        <v>0</v>
      </c>
      <c r="C37" s="133">
        <v>0</v>
      </c>
      <c r="D37" s="133">
        <v>0</v>
      </c>
      <c r="E37" s="133">
        <v>0</v>
      </c>
      <c r="F37" s="133">
        <v>0</v>
      </c>
      <c r="G37" s="133">
        <v>0</v>
      </c>
      <c r="H37" s="133">
        <v>0.5</v>
      </c>
      <c r="I37" s="133">
        <v>0</v>
      </c>
      <c r="J37" s="133">
        <v>0.5</v>
      </c>
      <c r="K37" s="133">
        <v>0</v>
      </c>
      <c r="L37" s="135">
        <f>AVERAGE(B37:K37)</f>
        <v>0.1</v>
      </c>
      <c r="M37" s="135">
        <f t="shared" si="5"/>
        <v>0.1</v>
      </c>
      <c r="Q37" s="134"/>
      <c r="R37" s="134"/>
    </row>
    <row r="38" spans="1:18" x14ac:dyDescent="0.2">
      <c r="A38" s="133" t="s">
        <v>62</v>
      </c>
      <c r="B38" s="130">
        <v>0</v>
      </c>
      <c r="C38" s="133">
        <v>0</v>
      </c>
      <c r="D38" s="133">
        <v>0</v>
      </c>
      <c r="E38" s="133">
        <v>0</v>
      </c>
      <c r="F38" s="133">
        <v>0</v>
      </c>
      <c r="G38" s="133">
        <v>0</v>
      </c>
      <c r="H38" s="133">
        <v>0</v>
      </c>
      <c r="I38" s="133">
        <v>0</v>
      </c>
      <c r="J38" s="133">
        <v>0</v>
      </c>
      <c r="K38" s="133">
        <v>0</v>
      </c>
      <c r="L38" s="135">
        <f t="shared" si="4"/>
        <v>0</v>
      </c>
      <c r="M38" s="135">
        <f t="shared" si="5"/>
        <v>0</v>
      </c>
      <c r="Q38" s="134"/>
      <c r="R38" s="134"/>
    </row>
    <row r="39" spans="1:18" x14ac:dyDescent="0.2">
      <c r="A39" s="133" t="s">
        <v>7</v>
      </c>
      <c r="B39" s="134">
        <f t="shared" ref="B39:J39" si="6">SUM(B27:B38)</f>
        <v>423.1</v>
      </c>
      <c r="C39" s="134">
        <f t="shared" si="6"/>
        <v>265.09999999999997</v>
      </c>
      <c r="D39" s="134">
        <f t="shared" si="6"/>
        <v>467.6</v>
      </c>
      <c r="E39" s="134">
        <f t="shared" si="6"/>
        <v>301.8</v>
      </c>
      <c r="F39" s="134">
        <f t="shared" si="6"/>
        <v>356.1</v>
      </c>
      <c r="G39" s="134">
        <f t="shared" si="6"/>
        <v>381.1</v>
      </c>
      <c r="H39" s="134">
        <f t="shared" si="6"/>
        <v>296.10000000000002</v>
      </c>
      <c r="I39" s="134">
        <f t="shared" si="6"/>
        <v>183.5</v>
      </c>
      <c r="J39" s="134">
        <f t="shared" si="6"/>
        <v>387.8</v>
      </c>
      <c r="K39" s="134">
        <f>SUM(K27:K38)</f>
        <v>341.89999999999992</v>
      </c>
      <c r="L39" s="134">
        <f t="shared" ref="L39:M39" si="7">SUM(L27:L38)</f>
        <v>335.54444444444442</v>
      </c>
      <c r="M39" s="134">
        <f t="shared" si="7"/>
        <v>340.40999999999997</v>
      </c>
    </row>
    <row r="41" spans="1:18" x14ac:dyDescent="0.2">
      <c r="A41" s="133"/>
    </row>
    <row r="42" spans="1:18" x14ac:dyDescent="0.2">
      <c r="A42" s="133"/>
    </row>
    <row r="43" spans="1:18" x14ac:dyDescent="0.2">
      <c r="A43" s="129"/>
    </row>
  </sheetData>
  <pageMargins left="0.5" right="0.5" top="0.75" bottom="0.75" header="0.5" footer="0.5"/>
  <pageSetup paperSize="5" orientation="landscape" r:id="rId1"/>
  <headerFooter alignWithMargins="0">
    <oddFooter>&amp;L&amp;8&amp;D
&amp;Z&amp;F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03F25-0D3A-4946-A784-1B5A0B01AC99}">
  <dimension ref="A1:AK27"/>
  <sheetViews>
    <sheetView view="pageBreakPreview" zoomScale="60" zoomScaleNormal="100" workbookViewId="0">
      <selection activeCell="C22" sqref="C22"/>
    </sheetView>
  </sheetViews>
  <sheetFormatPr defaultRowHeight="12.75" x14ac:dyDescent="0.2"/>
  <cols>
    <col min="1" max="1" width="11" customWidth="1"/>
    <col min="2" max="3" width="15.28515625" bestFit="1" customWidth="1"/>
    <col min="4" max="4" width="22.42578125" bestFit="1" customWidth="1"/>
    <col min="5" max="5" width="12.28515625" bestFit="1" customWidth="1"/>
    <col min="6" max="6" width="23.7109375" bestFit="1" customWidth="1"/>
    <col min="7" max="7" width="14.28515625" bestFit="1" customWidth="1"/>
    <col min="8" max="8" width="23.85546875" bestFit="1" customWidth="1"/>
    <col min="9" max="9" width="12.85546875" bestFit="1" customWidth="1"/>
    <col min="10" max="10" width="15" bestFit="1" customWidth="1"/>
    <col min="11" max="11" width="15.140625" bestFit="1" customWidth="1"/>
    <col min="12" max="12" width="12.28515625" bestFit="1" customWidth="1"/>
    <col min="13" max="13" width="11.42578125" bestFit="1" customWidth="1"/>
    <col min="14" max="14" width="14" bestFit="1" customWidth="1"/>
    <col min="15" max="15" width="12.85546875" bestFit="1" customWidth="1"/>
    <col min="16" max="16" width="13" bestFit="1" customWidth="1"/>
    <col min="17" max="17" width="19.42578125" bestFit="1" customWidth="1"/>
    <col min="18" max="18" width="12.85546875" bestFit="1" customWidth="1"/>
    <col min="19" max="19" width="10.28515625" bestFit="1" customWidth="1"/>
    <col min="20" max="20" width="11.42578125" bestFit="1" customWidth="1"/>
    <col min="21" max="21" width="11.28515625" bestFit="1" customWidth="1"/>
    <col min="22" max="23" width="9.28515625" bestFit="1" customWidth="1"/>
    <col min="24" max="25" width="7.7109375" bestFit="1" customWidth="1"/>
    <col min="26" max="27" width="12.85546875" bestFit="1" customWidth="1"/>
    <col min="28" max="28" width="10.28515625" bestFit="1" customWidth="1"/>
    <col min="29" max="31" width="9.28515625" bestFit="1" customWidth="1"/>
    <col min="32" max="33" width="12.85546875" bestFit="1" customWidth="1"/>
    <col min="34" max="35" width="10.28515625" bestFit="1" customWidth="1"/>
    <col min="36" max="36" width="10.28515625" customWidth="1"/>
  </cols>
  <sheetData>
    <row r="1" spans="1:37" ht="12.6" customHeight="1" x14ac:dyDescent="0.2">
      <c r="A1" s="164"/>
      <c r="B1" s="198" t="s">
        <v>41</v>
      </c>
      <c r="C1" s="198"/>
      <c r="D1" s="198"/>
      <c r="E1" s="198"/>
      <c r="F1" s="198" t="s">
        <v>44</v>
      </c>
      <c r="G1" s="198"/>
      <c r="H1" s="198"/>
      <c r="I1" s="198"/>
      <c r="J1" s="198" t="s">
        <v>140</v>
      </c>
      <c r="K1" s="198"/>
      <c r="L1" s="198"/>
      <c r="M1" s="198"/>
      <c r="N1" s="198"/>
      <c r="O1" s="198"/>
      <c r="P1" s="198" t="s">
        <v>82</v>
      </c>
      <c r="Q1" s="198"/>
      <c r="R1" s="198"/>
      <c r="S1" s="198"/>
      <c r="T1" s="198" t="s">
        <v>83</v>
      </c>
      <c r="U1" s="198"/>
      <c r="V1" s="198"/>
      <c r="W1" s="198"/>
      <c r="X1" s="198"/>
      <c r="Y1" s="198"/>
      <c r="Z1" s="198" t="s">
        <v>45</v>
      </c>
      <c r="AA1" s="198"/>
      <c r="AB1" s="198"/>
      <c r="AC1" s="198"/>
      <c r="AD1" s="198"/>
      <c r="AE1" s="198"/>
      <c r="AF1" s="198" t="s">
        <v>141</v>
      </c>
      <c r="AG1" s="198"/>
      <c r="AH1" s="198"/>
      <c r="AI1" s="198"/>
      <c r="AJ1" s="198"/>
    </row>
    <row r="2" spans="1:37" s="162" customFormat="1" ht="38.25" x14ac:dyDescent="0.2">
      <c r="A2" s="164" t="s">
        <v>42</v>
      </c>
      <c r="B2" s="197" t="s">
        <v>32</v>
      </c>
      <c r="C2" s="197"/>
      <c r="D2" s="197" t="s">
        <v>50</v>
      </c>
      <c r="E2" s="197"/>
      <c r="F2" s="197" t="s">
        <v>32</v>
      </c>
      <c r="G2" s="197"/>
      <c r="H2" s="197" t="s">
        <v>50</v>
      </c>
      <c r="I2" s="197"/>
      <c r="J2" s="197" t="s">
        <v>32</v>
      </c>
      <c r="K2" s="197"/>
      <c r="L2" s="197" t="s">
        <v>33</v>
      </c>
      <c r="M2" s="197"/>
      <c r="N2" s="197" t="s">
        <v>50</v>
      </c>
      <c r="O2" s="197"/>
      <c r="P2" s="197" t="s">
        <v>32</v>
      </c>
      <c r="Q2" s="197"/>
      <c r="R2" s="197" t="s">
        <v>50</v>
      </c>
      <c r="S2" s="197"/>
      <c r="T2" s="199" t="s">
        <v>32</v>
      </c>
      <c r="U2" s="199"/>
      <c r="V2" s="197" t="s">
        <v>33</v>
      </c>
      <c r="W2" s="197"/>
      <c r="X2" s="197" t="s">
        <v>50</v>
      </c>
      <c r="Y2" s="197"/>
      <c r="Z2" s="197" t="s">
        <v>32</v>
      </c>
      <c r="AA2" s="197"/>
      <c r="AB2" s="197" t="s">
        <v>33</v>
      </c>
      <c r="AC2" s="197"/>
      <c r="AD2" s="197" t="s">
        <v>51</v>
      </c>
      <c r="AE2" s="197"/>
      <c r="AF2" s="197" t="s">
        <v>32</v>
      </c>
      <c r="AG2" s="197"/>
      <c r="AH2" s="197" t="s">
        <v>33</v>
      </c>
      <c r="AI2" s="197"/>
      <c r="AJ2" s="165" t="s">
        <v>50</v>
      </c>
    </row>
    <row r="3" spans="1:37" s="177" customFormat="1" x14ac:dyDescent="0.2">
      <c r="A3" s="175">
        <v>2015</v>
      </c>
      <c r="B3" s="176">
        <v>199739669.07999998</v>
      </c>
      <c r="C3" s="176">
        <f>B3</f>
        <v>199739669.07999998</v>
      </c>
      <c r="D3" s="176">
        <v>25920.25</v>
      </c>
      <c r="E3" s="176"/>
      <c r="F3" s="176">
        <v>68487698.590000004</v>
      </c>
      <c r="G3" s="176">
        <f>F3</f>
        <v>68487698.590000004</v>
      </c>
      <c r="H3" s="176">
        <v>2492.1666666666665</v>
      </c>
      <c r="I3" s="176"/>
      <c r="J3" s="176">
        <v>194707775.59</v>
      </c>
      <c r="K3" s="176">
        <f>J3</f>
        <v>194707775.59</v>
      </c>
      <c r="L3" s="176">
        <v>615145.36</v>
      </c>
      <c r="M3" s="176">
        <f>L3</f>
        <v>615145.36</v>
      </c>
      <c r="N3" s="176">
        <v>219.66666666666666</v>
      </c>
      <c r="O3" s="176"/>
      <c r="P3" s="176">
        <v>1500542.3199999998</v>
      </c>
      <c r="Q3" s="176">
        <f>P3</f>
        <v>1500542.3199999998</v>
      </c>
      <c r="R3" s="176">
        <v>36.25</v>
      </c>
      <c r="S3" s="176"/>
      <c r="T3" s="176">
        <v>690656.66999999993</v>
      </c>
      <c r="U3" s="176">
        <f>T3</f>
        <v>690656.66999999993</v>
      </c>
      <c r="V3" s="176">
        <v>2268.02</v>
      </c>
      <c r="W3" s="176">
        <f>V3</f>
        <v>2268.02</v>
      </c>
      <c r="X3" s="176">
        <v>760.75</v>
      </c>
      <c r="Y3" s="176"/>
      <c r="Z3" s="176">
        <v>3697574.9299999997</v>
      </c>
      <c r="AA3" s="176">
        <f>Z3</f>
        <v>3697574.9299999997</v>
      </c>
      <c r="AB3" s="176">
        <v>11208.64</v>
      </c>
      <c r="AC3" s="176">
        <f>AB3</f>
        <v>11208.64</v>
      </c>
      <c r="AD3" s="176">
        <v>5699.583333333333</v>
      </c>
      <c r="AE3" s="176"/>
      <c r="AF3" s="176">
        <v>5138938.0000000009</v>
      </c>
      <c r="AG3" s="176">
        <f>AF3</f>
        <v>5138938.0000000009</v>
      </c>
      <c r="AH3" s="176">
        <v>13742.4</v>
      </c>
      <c r="AI3" s="176">
        <f>AH3</f>
        <v>13742.4</v>
      </c>
      <c r="AJ3" s="176">
        <v>1</v>
      </c>
    </row>
    <row r="4" spans="1:37" x14ac:dyDescent="0.2">
      <c r="A4" s="164">
        <v>2016</v>
      </c>
      <c r="B4" s="172">
        <v>202182964.05000001</v>
      </c>
      <c r="C4" s="172">
        <f>B4</f>
        <v>202182964.05000001</v>
      </c>
      <c r="D4" s="172">
        <v>26029.416666666668</v>
      </c>
      <c r="E4" s="172">
        <f>(D4+D3)/2</f>
        <v>25974.833333333336</v>
      </c>
      <c r="F4" s="172">
        <v>69095397.390000001</v>
      </c>
      <c r="G4" s="172">
        <f>F4</f>
        <v>69095397.390000001</v>
      </c>
      <c r="H4" s="172">
        <v>2502.6666666666665</v>
      </c>
      <c r="I4" s="172">
        <f>(H4+H3)/2</f>
        <v>2497.4166666666665</v>
      </c>
      <c r="J4" s="172">
        <v>185839670.57999998</v>
      </c>
      <c r="K4" s="172">
        <f>J4</f>
        <v>185839670.57999998</v>
      </c>
      <c r="L4" s="172">
        <v>580036.22</v>
      </c>
      <c r="M4" s="172">
        <f>L4</f>
        <v>580036.22</v>
      </c>
      <c r="N4" s="172">
        <v>205.58333333333334</v>
      </c>
      <c r="O4" s="172">
        <f>(N4+N3)/2</f>
        <v>212.625</v>
      </c>
      <c r="P4" s="172">
        <v>1416419.3800000001</v>
      </c>
      <c r="Q4" s="172">
        <f>P4</f>
        <v>1416419.3800000001</v>
      </c>
      <c r="R4" s="172">
        <v>35.916666666666664</v>
      </c>
      <c r="S4" s="172">
        <f>(R4+R3)/2</f>
        <v>36.083333333333329</v>
      </c>
      <c r="T4" s="172">
        <v>667141.85</v>
      </c>
      <c r="U4" s="172">
        <f>T4</f>
        <v>667141.85</v>
      </c>
      <c r="V4" s="172">
        <v>2173.14</v>
      </c>
      <c r="W4" s="172">
        <f>V4</f>
        <v>2173.14</v>
      </c>
      <c r="X4" s="172">
        <v>732.5</v>
      </c>
      <c r="Y4" s="172">
        <f>(X4+X3)/2</f>
        <v>746.625</v>
      </c>
      <c r="Z4" s="172">
        <v>2159285.8400000003</v>
      </c>
      <c r="AA4" s="172">
        <f>Z4</f>
        <v>2159285.8400000003</v>
      </c>
      <c r="AB4" s="172">
        <v>6413.35</v>
      </c>
      <c r="AC4" s="172">
        <f>AB4</f>
        <v>6413.35</v>
      </c>
      <c r="AD4" s="172">
        <v>5735.75</v>
      </c>
      <c r="AE4" s="172">
        <f>(AD4+AD3)/2</f>
        <v>5717.6666666666661</v>
      </c>
      <c r="AF4" s="172">
        <v>5604942.4199999999</v>
      </c>
      <c r="AG4" s="172">
        <f>AF4</f>
        <v>5604942.4199999999</v>
      </c>
      <c r="AH4" s="172">
        <v>16375.72</v>
      </c>
      <c r="AI4" s="172">
        <f>AH4</f>
        <v>16375.72</v>
      </c>
      <c r="AJ4" s="172">
        <v>1</v>
      </c>
      <c r="AK4" s="163"/>
    </row>
    <row r="5" spans="1:37" x14ac:dyDescent="0.2">
      <c r="A5" s="164">
        <v>2017</v>
      </c>
      <c r="B5" s="172">
        <v>192333396.59142745</v>
      </c>
      <c r="C5" s="172">
        <f t="shared" ref="C5:C12" si="0">B5</f>
        <v>192333396.59142745</v>
      </c>
      <c r="D5" s="172">
        <v>26228.416666666668</v>
      </c>
      <c r="E5" s="172">
        <f t="shared" ref="E5:E11" si="1">(D5+D4)/2</f>
        <v>26128.916666666668</v>
      </c>
      <c r="F5" s="172">
        <v>66385178.073323995</v>
      </c>
      <c r="G5" s="172">
        <f t="shared" ref="G5:G13" si="2">F5</f>
        <v>66385178.073323995</v>
      </c>
      <c r="H5" s="172">
        <v>2506.6666666666665</v>
      </c>
      <c r="I5" s="172">
        <f t="shared" ref="I5:I13" si="3">(H5+H4)/2</f>
        <v>2504.6666666666665</v>
      </c>
      <c r="J5" s="172">
        <v>185980426.04825354</v>
      </c>
      <c r="K5" s="172">
        <f t="shared" ref="K5:K13" si="4">J5</f>
        <v>185980426.04825354</v>
      </c>
      <c r="L5" s="172">
        <v>588371.79999999993</v>
      </c>
      <c r="M5" s="172">
        <f t="shared" ref="M5:M13" si="5">L5</f>
        <v>588371.79999999993</v>
      </c>
      <c r="N5" s="172">
        <v>198</v>
      </c>
      <c r="O5" s="172">
        <f t="shared" ref="O5:O13" si="6">(N5+N4)/2</f>
        <v>201.79166666666669</v>
      </c>
      <c r="P5" s="172">
        <v>1308270.2299999995</v>
      </c>
      <c r="Q5" s="172">
        <f t="shared" ref="Q5:Q13" si="7">P5</f>
        <v>1308270.2299999995</v>
      </c>
      <c r="R5" s="172">
        <v>49.25</v>
      </c>
      <c r="S5" s="172">
        <f t="shared" ref="S5:S13" si="8">(R5+R4)/2</f>
        <v>42.583333333333329</v>
      </c>
      <c r="T5" s="172">
        <v>631149.96201329515</v>
      </c>
      <c r="U5" s="172">
        <f t="shared" ref="U5:U13" si="9">T5</f>
        <v>631149.96201329515</v>
      </c>
      <c r="V5" s="172">
        <v>2037.9700000000007</v>
      </c>
      <c r="W5" s="172">
        <f t="shared" ref="W5:W12" si="10">V5</f>
        <v>2037.9700000000007</v>
      </c>
      <c r="X5" s="172">
        <v>705.66666666666663</v>
      </c>
      <c r="Y5" s="172">
        <f t="shared" ref="Y5:Y12" si="11">(X5+X4)/2</f>
        <v>719.08333333333326</v>
      </c>
      <c r="Z5" s="172">
        <v>1392668.2526115859</v>
      </c>
      <c r="AA5" s="172">
        <f t="shared" ref="AA5:AA12" si="12">Z5</f>
        <v>1392668.2526115859</v>
      </c>
      <c r="AB5" s="172">
        <v>4209.0200000000004</v>
      </c>
      <c r="AC5" s="172">
        <f t="shared" ref="AC5:AC13" si="13">AB5</f>
        <v>4209.0200000000004</v>
      </c>
      <c r="AD5" s="172">
        <v>5742.916666666667</v>
      </c>
      <c r="AE5" s="172">
        <f t="shared" ref="AE5:AE12" si="14">(AD5+AD4)/2</f>
        <v>5739.3333333333339</v>
      </c>
      <c r="AF5" s="172">
        <v>4768119.9723423496</v>
      </c>
      <c r="AG5" s="172">
        <f t="shared" ref="AG5:AG13" si="15">AF5</f>
        <v>4768119.9723423496</v>
      </c>
      <c r="AH5" s="172">
        <v>12501.41</v>
      </c>
      <c r="AI5" s="172">
        <f t="shared" ref="AI5:AI13" si="16">AH5</f>
        <v>12501.41</v>
      </c>
      <c r="AJ5" s="172">
        <v>1</v>
      </c>
    </row>
    <row r="6" spans="1:37" x14ac:dyDescent="0.2">
      <c r="A6" s="164">
        <v>2018</v>
      </c>
      <c r="B6" s="172">
        <v>213384791.97681683</v>
      </c>
      <c r="C6" s="172">
        <f t="shared" si="0"/>
        <v>213384791.97681683</v>
      </c>
      <c r="D6" s="172">
        <v>26464.833333333332</v>
      </c>
      <c r="E6" s="172">
        <f t="shared" si="1"/>
        <v>26346.625</v>
      </c>
      <c r="F6" s="172">
        <v>68552191.048737228</v>
      </c>
      <c r="G6" s="172">
        <f t="shared" si="2"/>
        <v>68552191.048737228</v>
      </c>
      <c r="H6" s="172">
        <v>2490.75</v>
      </c>
      <c r="I6" s="172">
        <f t="shared" si="3"/>
        <v>2498.708333333333</v>
      </c>
      <c r="J6" s="172">
        <v>186317853.54878309</v>
      </c>
      <c r="K6" s="172">
        <f t="shared" si="4"/>
        <v>186317853.54878309</v>
      </c>
      <c r="L6" s="172">
        <v>580250.94000000006</v>
      </c>
      <c r="M6" s="172">
        <f t="shared" si="5"/>
        <v>580250.94000000006</v>
      </c>
      <c r="N6" s="172">
        <v>197.66666666666666</v>
      </c>
      <c r="O6" s="172">
        <f t="shared" si="6"/>
        <v>197.83333333333331</v>
      </c>
      <c r="P6" s="172">
        <v>1307305.7299999995</v>
      </c>
      <c r="Q6" s="172">
        <f t="shared" si="7"/>
        <v>1307305.7299999995</v>
      </c>
      <c r="R6" s="172">
        <v>48.083333333333336</v>
      </c>
      <c r="S6" s="172">
        <f t="shared" si="8"/>
        <v>48.666666666666671</v>
      </c>
      <c r="T6" s="172">
        <v>606042.11775878421</v>
      </c>
      <c r="U6" s="172">
        <f t="shared" si="9"/>
        <v>606042.11775878421</v>
      </c>
      <c r="V6" s="172">
        <v>1951.2900000000013</v>
      </c>
      <c r="W6" s="172">
        <f t="shared" si="10"/>
        <v>1951.2900000000013</v>
      </c>
      <c r="X6" s="172">
        <v>698.25</v>
      </c>
      <c r="Y6" s="172">
        <f t="shared" si="11"/>
        <v>701.95833333333326</v>
      </c>
      <c r="Z6" s="172">
        <v>1390046.9705603039</v>
      </c>
      <c r="AA6" s="172">
        <f t="shared" si="12"/>
        <v>1390046.9705603039</v>
      </c>
      <c r="AB6" s="172">
        <v>4251.8</v>
      </c>
      <c r="AC6" s="172">
        <f t="shared" si="13"/>
        <v>4251.8</v>
      </c>
      <c r="AD6" s="172">
        <v>5774.416666666667</v>
      </c>
      <c r="AE6" s="172">
        <f t="shared" si="14"/>
        <v>5758.666666666667</v>
      </c>
      <c r="AF6" s="172">
        <v>5218945.2166489204</v>
      </c>
      <c r="AG6" s="172">
        <f t="shared" si="15"/>
        <v>5218945.2166489204</v>
      </c>
      <c r="AH6" s="172">
        <v>13532.36</v>
      </c>
      <c r="AI6" s="172">
        <f t="shared" si="16"/>
        <v>13532.36</v>
      </c>
      <c r="AJ6" s="172">
        <v>1</v>
      </c>
    </row>
    <row r="7" spans="1:37" x14ac:dyDescent="0.2">
      <c r="A7" s="164">
        <v>2019</v>
      </c>
      <c r="B7" s="172">
        <v>208333696</v>
      </c>
      <c r="C7" s="172">
        <f t="shared" si="0"/>
        <v>208333696</v>
      </c>
      <c r="D7" s="172">
        <v>26773</v>
      </c>
      <c r="E7" s="172">
        <f t="shared" si="1"/>
        <v>26618.916666666664</v>
      </c>
      <c r="F7" s="172">
        <v>68296620</v>
      </c>
      <c r="G7" s="172">
        <f t="shared" si="2"/>
        <v>68296620</v>
      </c>
      <c r="H7" s="172">
        <v>2494</v>
      </c>
      <c r="I7" s="172">
        <f t="shared" si="3"/>
        <v>2492.375</v>
      </c>
      <c r="J7" s="172">
        <v>183204908</v>
      </c>
      <c r="K7" s="172">
        <f t="shared" si="4"/>
        <v>183204908</v>
      </c>
      <c r="L7" s="172">
        <v>553967</v>
      </c>
      <c r="M7" s="172">
        <f t="shared" si="5"/>
        <v>553967</v>
      </c>
      <c r="N7" s="172">
        <v>188</v>
      </c>
      <c r="O7" s="172">
        <f t="shared" si="6"/>
        <v>192.83333333333331</v>
      </c>
      <c r="P7" s="172">
        <v>1299487</v>
      </c>
      <c r="Q7" s="172">
        <f t="shared" si="7"/>
        <v>1299487</v>
      </c>
      <c r="R7" s="172">
        <v>46</v>
      </c>
      <c r="S7" s="172">
        <f t="shared" si="8"/>
        <v>47.041666666666671</v>
      </c>
      <c r="T7" s="172">
        <v>565913</v>
      </c>
      <c r="U7" s="172">
        <f t="shared" si="9"/>
        <v>565913</v>
      </c>
      <c r="V7" s="172">
        <v>1856</v>
      </c>
      <c r="W7" s="172">
        <f t="shared" si="10"/>
        <v>1856</v>
      </c>
      <c r="X7" s="172">
        <v>646</v>
      </c>
      <c r="Y7" s="172">
        <f t="shared" si="11"/>
        <v>672.125</v>
      </c>
      <c r="Z7" s="172">
        <v>1401778</v>
      </c>
      <c r="AA7" s="172">
        <f t="shared" si="12"/>
        <v>1401778</v>
      </c>
      <c r="AB7" s="172">
        <v>4286</v>
      </c>
      <c r="AC7" s="172">
        <f t="shared" si="13"/>
        <v>4286</v>
      </c>
      <c r="AD7" s="172">
        <v>5949</v>
      </c>
      <c r="AE7" s="172">
        <f t="shared" si="14"/>
        <v>5861.7083333333339</v>
      </c>
      <c r="AF7" s="172">
        <v>5234524</v>
      </c>
      <c r="AG7" s="172">
        <f t="shared" si="15"/>
        <v>5234524</v>
      </c>
      <c r="AH7" s="172">
        <v>13276</v>
      </c>
      <c r="AI7" s="172">
        <f t="shared" si="16"/>
        <v>13276</v>
      </c>
      <c r="AJ7" s="172">
        <v>1</v>
      </c>
    </row>
    <row r="8" spans="1:37" x14ac:dyDescent="0.2">
      <c r="A8" s="164">
        <v>2020</v>
      </c>
      <c r="B8" s="172">
        <v>220200219.66</v>
      </c>
      <c r="C8" s="172">
        <f>B8</f>
        <v>220200219.66</v>
      </c>
      <c r="D8" s="172">
        <v>27036</v>
      </c>
      <c r="E8" s="172">
        <f t="shared" si="1"/>
        <v>26904.5</v>
      </c>
      <c r="F8" s="172">
        <v>63219121.670000002</v>
      </c>
      <c r="G8" s="172">
        <f t="shared" si="2"/>
        <v>63219121.670000002</v>
      </c>
      <c r="H8" s="172">
        <v>2486</v>
      </c>
      <c r="I8" s="172">
        <f t="shared" si="3"/>
        <v>2490</v>
      </c>
      <c r="J8" s="172">
        <v>169630766.96000001</v>
      </c>
      <c r="K8" s="172">
        <f t="shared" si="4"/>
        <v>169630766.96000001</v>
      </c>
      <c r="L8" s="172">
        <v>527483.83000000007</v>
      </c>
      <c r="M8" s="172">
        <f t="shared" si="5"/>
        <v>527483.83000000007</v>
      </c>
      <c r="N8" s="172">
        <v>196</v>
      </c>
      <c r="O8" s="172">
        <f t="shared" si="6"/>
        <v>192</v>
      </c>
      <c r="P8" s="172">
        <v>1307649.58</v>
      </c>
      <c r="Q8" s="172">
        <f t="shared" si="7"/>
        <v>1307649.58</v>
      </c>
      <c r="R8" s="172">
        <v>46</v>
      </c>
      <c r="S8" s="172">
        <f t="shared" si="8"/>
        <v>46</v>
      </c>
      <c r="T8" s="172">
        <v>525914.77999999991</v>
      </c>
      <c r="U8" s="172">
        <f t="shared" si="9"/>
        <v>525914.77999999991</v>
      </c>
      <c r="V8" s="172">
        <v>1722.9099999999999</v>
      </c>
      <c r="W8" s="172">
        <f t="shared" si="10"/>
        <v>1722.9099999999999</v>
      </c>
      <c r="X8" s="172">
        <v>638</v>
      </c>
      <c r="Y8" s="172">
        <f t="shared" si="11"/>
        <v>642</v>
      </c>
      <c r="Z8" s="172">
        <v>1425844.32</v>
      </c>
      <c r="AA8" s="172">
        <f t="shared" si="12"/>
        <v>1425844.32</v>
      </c>
      <c r="AB8" s="172">
        <v>4348.49</v>
      </c>
      <c r="AC8" s="172">
        <f t="shared" si="13"/>
        <v>4348.49</v>
      </c>
      <c r="AD8" s="172">
        <v>6007</v>
      </c>
      <c r="AE8" s="172">
        <f t="shared" si="14"/>
        <v>5978</v>
      </c>
      <c r="AF8" s="172">
        <v>5321960</v>
      </c>
      <c r="AG8" s="172">
        <f t="shared" si="15"/>
        <v>5321960</v>
      </c>
      <c r="AH8" s="172">
        <v>14339.56</v>
      </c>
      <c r="AI8" s="172">
        <f t="shared" si="16"/>
        <v>14339.56</v>
      </c>
      <c r="AJ8" s="172">
        <v>1</v>
      </c>
    </row>
    <row r="9" spans="1:37" x14ac:dyDescent="0.2">
      <c r="A9" s="164">
        <v>2021</v>
      </c>
      <c r="B9" s="172">
        <v>223186490.06</v>
      </c>
      <c r="C9" s="172">
        <f t="shared" si="0"/>
        <v>223186490.06</v>
      </c>
      <c r="D9" s="172">
        <v>27335</v>
      </c>
      <c r="E9" s="172">
        <f t="shared" si="1"/>
        <v>27185.5</v>
      </c>
      <c r="F9" s="172">
        <v>63093119.950000003</v>
      </c>
      <c r="G9" s="172">
        <f t="shared" si="2"/>
        <v>63093119.950000003</v>
      </c>
      <c r="H9" s="172">
        <v>2505</v>
      </c>
      <c r="I9" s="172">
        <f t="shared" si="3"/>
        <v>2495.5</v>
      </c>
      <c r="J9" s="172">
        <v>173812299.56999999</v>
      </c>
      <c r="K9" s="172">
        <f t="shared" si="4"/>
        <v>173812299.56999999</v>
      </c>
      <c r="L9" s="172">
        <v>560531.96</v>
      </c>
      <c r="M9" s="172">
        <f t="shared" si="5"/>
        <v>560531.96</v>
      </c>
      <c r="N9" s="172">
        <v>201</v>
      </c>
      <c r="O9" s="172">
        <f t="shared" si="6"/>
        <v>198.5</v>
      </c>
      <c r="P9" s="172">
        <v>1288662.6200000001</v>
      </c>
      <c r="Q9" s="172">
        <f t="shared" si="7"/>
        <v>1288662.6200000001</v>
      </c>
      <c r="R9" s="172">
        <v>43</v>
      </c>
      <c r="S9" s="172">
        <f t="shared" si="8"/>
        <v>44.5</v>
      </c>
      <c r="T9" s="172">
        <v>509735.7</v>
      </c>
      <c r="U9" s="172">
        <f t="shared" si="9"/>
        <v>509735.7</v>
      </c>
      <c r="V9" s="172">
        <v>1675.86</v>
      </c>
      <c r="W9" s="172">
        <f t="shared" si="10"/>
        <v>1675.86</v>
      </c>
      <c r="X9" s="172">
        <v>639</v>
      </c>
      <c r="Y9" s="172">
        <f t="shared" si="11"/>
        <v>638.5</v>
      </c>
      <c r="Z9" s="172">
        <v>1423813.54</v>
      </c>
      <c r="AA9" s="172">
        <f t="shared" si="12"/>
        <v>1423813.54</v>
      </c>
      <c r="AB9" s="172">
        <v>4352.42</v>
      </c>
      <c r="AC9" s="172">
        <f t="shared" si="13"/>
        <v>4352.42</v>
      </c>
      <c r="AD9" s="172">
        <v>6010</v>
      </c>
      <c r="AE9" s="172">
        <f t="shared" si="14"/>
        <v>6008.5</v>
      </c>
      <c r="AF9" s="172">
        <v>5543931.4199999999</v>
      </c>
      <c r="AG9" s="172">
        <f t="shared" si="15"/>
        <v>5543931.4199999999</v>
      </c>
      <c r="AH9" s="172">
        <v>14862.9</v>
      </c>
      <c r="AI9" s="172">
        <f t="shared" si="16"/>
        <v>14862.9</v>
      </c>
      <c r="AJ9" s="172">
        <v>1</v>
      </c>
    </row>
    <row r="10" spans="1:37" x14ac:dyDescent="0.2">
      <c r="A10" s="164">
        <v>2022</v>
      </c>
      <c r="B10" s="172">
        <v>226316453.80000001</v>
      </c>
      <c r="C10" s="172">
        <f t="shared" si="0"/>
        <v>226316453.80000001</v>
      </c>
      <c r="D10" s="172">
        <v>27703</v>
      </c>
      <c r="E10" s="172">
        <f t="shared" si="1"/>
        <v>27519</v>
      </c>
      <c r="F10" s="172">
        <v>67968059.879999995</v>
      </c>
      <c r="G10" s="172">
        <f t="shared" si="2"/>
        <v>67968059.879999995</v>
      </c>
      <c r="H10" s="172">
        <v>2530</v>
      </c>
      <c r="I10" s="172">
        <f t="shared" si="3"/>
        <v>2517.5</v>
      </c>
      <c r="J10" s="172">
        <v>179949732.97</v>
      </c>
      <c r="K10" s="172">
        <f t="shared" si="4"/>
        <v>179949732.97</v>
      </c>
      <c r="L10" s="172">
        <v>570326.93000000005</v>
      </c>
      <c r="M10" s="172">
        <f t="shared" si="5"/>
        <v>570326.93000000005</v>
      </c>
      <c r="N10" s="172">
        <v>200</v>
      </c>
      <c r="O10" s="172">
        <f t="shared" si="6"/>
        <v>200.5</v>
      </c>
      <c r="P10" s="172">
        <v>1284000.5900000001</v>
      </c>
      <c r="Q10" s="172">
        <f t="shared" si="7"/>
        <v>1284000.5900000001</v>
      </c>
      <c r="R10" s="172">
        <v>42</v>
      </c>
      <c r="S10" s="172">
        <f t="shared" si="8"/>
        <v>42.5</v>
      </c>
      <c r="T10" s="172">
        <v>499744.99</v>
      </c>
      <c r="U10" s="172">
        <f t="shared" si="9"/>
        <v>499744.99</v>
      </c>
      <c r="V10" s="172">
        <v>1636.3300000000002</v>
      </c>
      <c r="W10" s="172">
        <f t="shared" si="10"/>
        <v>1636.3300000000002</v>
      </c>
      <c r="X10" s="172">
        <v>633</v>
      </c>
      <c r="Y10" s="172">
        <f t="shared" si="11"/>
        <v>636</v>
      </c>
      <c r="Z10" s="172">
        <v>1423716.0799999998</v>
      </c>
      <c r="AA10" s="172">
        <f t="shared" si="12"/>
        <v>1423716.0799999998</v>
      </c>
      <c r="AB10" s="172">
        <v>4352.42</v>
      </c>
      <c r="AC10" s="172">
        <f t="shared" si="13"/>
        <v>4352.42</v>
      </c>
      <c r="AD10" s="172">
        <v>6017</v>
      </c>
      <c r="AE10" s="172">
        <f t="shared" si="14"/>
        <v>6013.5</v>
      </c>
      <c r="AF10" s="172">
        <v>5531274.6699999999</v>
      </c>
      <c r="AG10" s="172">
        <f t="shared" si="15"/>
        <v>5531274.6699999999</v>
      </c>
      <c r="AH10" s="172">
        <v>15056.95</v>
      </c>
      <c r="AI10" s="172">
        <f t="shared" si="16"/>
        <v>15056.95</v>
      </c>
      <c r="AJ10" s="172">
        <v>1</v>
      </c>
    </row>
    <row r="11" spans="1:37" x14ac:dyDescent="0.2">
      <c r="A11" s="164">
        <v>2023</v>
      </c>
      <c r="B11" s="172">
        <v>219776043.25999999</v>
      </c>
      <c r="C11" s="172">
        <f t="shared" si="0"/>
        <v>219776043.25999999</v>
      </c>
      <c r="D11" s="172">
        <v>27975</v>
      </c>
      <c r="E11" s="172">
        <f t="shared" si="1"/>
        <v>27839</v>
      </c>
      <c r="F11" s="172">
        <v>66829175.539999999</v>
      </c>
      <c r="G11" s="172">
        <f t="shared" si="2"/>
        <v>66829175.539999999</v>
      </c>
      <c r="H11" s="172">
        <v>2530</v>
      </c>
      <c r="I11" s="172">
        <f t="shared" si="3"/>
        <v>2530</v>
      </c>
      <c r="J11" s="172">
        <v>181546335.81</v>
      </c>
      <c r="K11" s="172">
        <f t="shared" si="4"/>
        <v>181546335.81</v>
      </c>
      <c r="L11" s="172">
        <v>579214.24</v>
      </c>
      <c r="M11" s="172">
        <f t="shared" si="5"/>
        <v>579214.24</v>
      </c>
      <c r="N11" s="172">
        <v>200</v>
      </c>
      <c r="O11" s="172">
        <f t="shared" si="6"/>
        <v>200</v>
      </c>
      <c r="P11" s="172">
        <v>1285502.0899999999</v>
      </c>
      <c r="Q11" s="172">
        <f t="shared" si="7"/>
        <v>1285502.0899999999</v>
      </c>
      <c r="R11" s="172">
        <v>42</v>
      </c>
      <c r="S11" s="172">
        <f t="shared" si="8"/>
        <v>42</v>
      </c>
      <c r="T11" s="172">
        <v>492156.56</v>
      </c>
      <c r="U11" s="172">
        <f t="shared" si="9"/>
        <v>492156.56</v>
      </c>
      <c r="V11" s="172">
        <v>1599.82</v>
      </c>
      <c r="W11" s="172">
        <f t="shared" si="10"/>
        <v>1599.82</v>
      </c>
      <c r="X11" s="172">
        <v>620</v>
      </c>
      <c r="Y11" s="172">
        <f t="shared" si="11"/>
        <v>626.5</v>
      </c>
      <c r="Z11" s="172">
        <v>1430413.7999999998</v>
      </c>
      <c r="AA11" s="172">
        <f t="shared" si="12"/>
        <v>1430413.7999999998</v>
      </c>
      <c r="AB11" s="172">
        <v>4370.1400000000003</v>
      </c>
      <c r="AC11" s="172">
        <f t="shared" si="13"/>
        <v>4370.1400000000003</v>
      </c>
      <c r="AD11" s="172">
        <v>6093</v>
      </c>
      <c r="AE11" s="172">
        <f t="shared" si="14"/>
        <v>6055</v>
      </c>
      <c r="AF11" s="172">
        <v>5519642.0099999998</v>
      </c>
      <c r="AG11" s="172">
        <f t="shared" si="15"/>
        <v>5519642.0099999998</v>
      </c>
      <c r="AH11" s="172">
        <v>14942.19</v>
      </c>
      <c r="AI11" s="172">
        <f t="shared" si="16"/>
        <v>14942.19</v>
      </c>
      <c r="AJ11" s="172">
        <v>1</v>
      </c>
    </row>
    <row r="12" spans="1:37" x14ac:dyDescent="0.2">
      <c r="A12" s="164">
        <v>2024</v>
      </c>
      <c r="B12" s="172">
        <v>228623867.22</v>
      </c>
      <c r="C12" s="172">
        <f t="shared" si="0"/>
        <v>228623867.22</v>
      </c>
      <c r="D12" s="172">
        <v>28178</v>
      </c>
      <c r="E12" s="172">
        <f>(D12+D11)/2</f>
        <v>28076.5</v>
      </c>
      <c r="F12" s="172">
        <v>67302263.310000002</v>
      </c>
      <c r="G12" s="172">
        <f t="shared" si="2"/>
        <v>67302263.310000002</v>
      </c>
      <c r="H12" s="172">
        <v>2537</v>
      </c>
      <c r="I12" s="172">
        <f t="shared" si="3"/>
        <v>2533.5</v>
      </c>
      <c r="J12" s="172">
        <v>184252866.08999997</v>
      </c>
      <c r="K12" s="172">
        <f t="shared" si="4"/>
        <v>184252866.08999997</v>
      </c>
      <c r="L12" s="172">
        <v>577912.13</v>
      </c>
      <c r="M12" s="172">
        <f t="shared" si="5"/>
        <v>577912.13</v>
      </c>
      <c r="N12" s="172">
        <v>205</v>
      </c>
      <c r="O12" s="172">
        <f t="shared" si="6"/>
        <v>202.5</v>
      </c>
      <c r="P12" s="172">
        <v>1292091</v>
      </c>
      <c r="Q12" s="172">
        <f t="shared" si="7"/>
        <v>1292091</v>
      </c>
      <c r="R12" s="172">
        <v>42</v>
      </c>
      <c r="S12" s="172">
        <f t="shared" si="8"/>
        <v>42</v>
      </c>
      <c r="T12" s="172">
        <v>450678.16</v>
      </c>
      <c r="U12" s="172">
        <f t="shared" si="9"/>
        <v>450678.16</v>
      </c>
      <c r="V12" s="172">
        <v>1477.68</v>
      </c>
      <c r="W12" s="172">
        <f t="shared" si="10"/>
        <v>1477.68</v>
      </c>
      <c r="X12" s="172">
        <v>628</v>
      </c>
      <c r="Y12" s="172">
        <f t="shared" si="11"/>
        <v>624</v>
      </c>
      <c r="Z12" s="172">
        <v>1456996.37</v>
      </c>
      <c r="AA12" s="172">
        <f t="shared" si="12"/>
        <v>1456996.37</v>
      </c>
      <c r="AB12" s="172">
        <v>4442.1400000000003</v>
      </c>
      <c r="AC12" s="172">
        <f t="shared" si="13"/>
        <v>4442.1400000000003</v>
      </c>
      <c r="AD12" s="172">
        <v>6199</v>
      </c>
      <c r="AE12" s="172">
        <f t="shared" si="14"/>
        <v>6146</v>
      </c>
      <c r="AF12" s="172">
        <v>5640447.3899999997</v>
      </c>
      <c r="AG12" s="172">
        <f t="shared" si="15"/>
        <v>5640447.3899999997</v>
      </c>
      <c r="AH12" s="172">
        <v>15142.87</v>
      </c>
      <c r="AI12" s="172">
        <f t="shared" si="16"/>
        <v>15142.87</v>
      </c>
      <c r="AJ12" s="172">
        <v>1</v>
      </c>
    </row>
    <row r="13" spans="1:37" x14ac:dyDescent="0.2">
      <c r="A13" s="164">
        <v>2025</v>
      </c>
      <c r="B13" s="172">
        <v>239825021.94555604</v>
      </c>
      <c r="C13" s="172">
        <f>B13</f>
        <v>239825021.94555604</v>
      </c>
      <c r="D13" s="172">
        <v>28379</v>
      </c>
      <c r="E13" s="172">
        <f>(D13+D12)/2</f>
        <v>28278.5</v>
      </c>
      <c r="F13" s="172">
        <v>69410244.351478517</v>
      </c>
      <c r="G13" s="172">
        <f t="shared" si="2"/>
        <v>69410244.351478517</v>
      </c>
      <c r="H13" s="172">
        <v>2552</v>
      </c>
      <c r="I13" s="172">
        <f t="shared" si="3"/>
        <v>2544.5</v>
      </c>
      <c r="J13" s="172">
        <v>185314016.59084186</v>
      </c>
      <c r="K13" s="172">
        <f t="shared" si="4"/>
        <v>185314016.59084186</v>
      </c>
      <c r="L13" s="172">
        <v>567720.46000000008</v>
      </c>
      <c r="M13" s="172">
        <f t="shared" si="5"/>
        <v>567720.46000000008</v>
      </c>
      <c r="N13" s="172">
        <v>201</v>
      </c>
      <c r="O13" s="172">
        <f t="shared" si="6"/>
        <v>203</v>
      </c>
      <c r="P13" s="172">
        <v>1294985</v>
      </c>
      <c r="Q13" s="172">
        <f t="shared" si="7"/>
        <v>1294985</v>
      </c>
      <c r="R13" s="172">
        <v>44</v>
      </c>
      <c r="S13" s="172">
        <f t="shared" si="8"/>
        <v>43</v>
      </c>
      <c r="T13" s="172">
        <v>427408.11085004313</v>
      </c>
      <c r="U13" s="172">
        <f t="shared" si="9"/>
        <v>427408.11085004313</v>
      </c>
      <c r="V13" s="172">
        <v>1400.8999999999933</v>
      </c>
      <c r="W13" s="172">
        <f>V13</f>
        <v>1400.8999999999933</v>
      </c>
      <c r="X13" s="172">
        <v>608</v>
      </c>
      <c r="Y13" s="172">
        <f>(X13+X12)/2</f>
        <v>618</v>
      </c>
      <c r="Z13" s="172">
        <v>1437972.6529836564</v>
      </c>
      <c r="AA13" s="172">
        <f>Z13</f>
        <v>1437972.6529836564</v>
      </c>
      <c r="AB13" s="172">
        <v>4393</v>
      </c>
      <c r="AC13" s="172">
        <f t="shared" si="13"/>
        <v>4393</v>
      </c>
      <c r="AD13" s="172">
        <v>6110</v>
      </c>
      <c r="AE13" s="172">
        <f>(AD13+AD12)/2</f>
        <v>6154.5</v>
      </c>
      <c r="AF13" s="172">
        <v>5636846.5921088494</v>
      </c>
      <c r="AG13" s="172">
        <f t="shared" si="15"/>
        <v>5636846.5921088494</v>
      </c>
      <c r="AH13" s="172">
        <v>14981</v>
      </c>
      <c r="AI13" s="172">
        <f t="shared" si="16"/>
        <v>14981</v>
      </c>
      <c r="AJ13" s="172">
        <v>1</v>
      </c>
    </row>
    <row r="14" spans="1:37" x14ac:dyDescent="0.2">
      <c r="C14" s="174">
        <f>C12-B12</f>
        <v>0</v>
      </c>
      <c r="E14" s="174">
        <f>E13-D13</f>
        <v>-100.5</v>
      </c>
      <c r="G14" s="174">
        <f>G13-F13</f>
        <v>0</v>
      </c>
      <c r="I14" s="174">
        <f>I13-H13</f>
        <v>-7.5</v>
      </c>
      <c r="K14" s="174">
        <f>K13-J13</f>
        <v>0</v>
      </c>
      <c r="M14" s="174">
        <f>M13-L13</f>
        <v>0</v>
      </c>
      <c r="O14" s="174">
        <f>O13-N13</f>
        <v>2</v>
      </c>
      <c r="Q14" s="174">
        <f>Q13-P13</f>
        <v>0</v>
      </c>
      <c r="S14" s="174">
        <f>S13-R13</f>
        <v>-1</v>
      </c>
      <c r="U14" s="174">
        <f>U13-T13</f>
        <v>0</v>
      </c>
      <c r="W14" s="174">
        <f>W13-V13</f>
        <v>0</v>
      </c>
      <c r="Y14" s="174">
        <f>Y13-X13</f>
        <v>10</v>
      </c>
      <c r="AA14" s="174">
        <f>AA13-Z13</f>
        <v>0</v>
      </c>
      <c r="AC14" s="174">
        <f>AC13-AB13</f>
        <v>0</v>
      </c>
      <c r="AE14" s="174">
        <f>AE13-AD13</f>
        <v>44.5</v>
      </c>
      <c r="AG14" s="174">
        <f>AG13-AF13</f>
        <v>0</v>
      </c>
      <c r="AI14" s="174">
        <f>AI13-AH13</f>
        <v>0</v>
      </c>
      <c r="AJ14" s="174">
        <f>AJ13-AI13</f>
        <v>-14980</v>
      </c>
    </row>
    <row r="16" spans="1:37" x14ac:dyDescent="0.2">
      <c r="B16" t="s">
        <v>41</v>
      </c>
      <c r="D16" t="s">
        <v>44</v>
      </c>
      <c r="F16" t="s">
        <v>140</v>
      </c>
      <c r="I16" t="s">
        <v>82</v>
      </c>
      <c r="K16" t="s">
        <v>83</v>
      </c>
      <c r="N16" t="s">
        <v>45</v>
      </c>
      <c r="Q16" t="s">
        <v>141</v>
      </c>
    </row>
    <row r="17" spans="1:19" s="162" customFormat="1" ht="38.25" x14ac:dyDescent="0.2">
      <c r="A17" s="162" t="s">
        <v>42</v>
      </c>
      <c r="B17" s="162" t="s">
        <v>32</v>
      </c>
      <c r="C17" s="162" t="s">
        <v>50</v>
      </c>
      <c r="D17" s="162" t="s">
        <v>32</v>
      </c>
      <c r="E17" s="162" t="s">
        <v>50</v>
      </c>
      <c r="F17" s="162" t="s">
        <v>32</v>
      </c>
      <c r="G17" s="162" t="s">
        <v>33</v>
      </c>
      <c r="H17" s="162" t="s">
        <v>50</v>
      </c>
      <c r="I17" s="162" t="s">
        <v>32</v>
      </c>
      <c r="J17" s="162" t="s">
        <v>50</v>
      </c>
      <c r="K17" s="162" t="s">
        <v>32</v>
      </c>
      <c r="L17" s="162" t="s">
        <v>33</v>
      </c>
      <c r="M17" s="162" t="s">
        <v>50</v>
      </c>
      <c r="N17" s="162" t="s">
        <v>32</v>
      </c>
      <c r="O17" s="162" t="s">
        <v>33</v>
      </c>
      <c r="P17" s="162" t="s">
        <v>51</v>
      </c>
      <c r="Q17" s="162" t="s">
        <v>32</v>
      </c>
      <c r="R17" s="162" t="s">
        <v>33</v>
      </c>
      <c r="S17" s="162" t="s">
        <v>50</v>
      </c>
    </row>
    <row r="18" spans="1:19" x14ac:dyDescent="0.2">
      <c r="A18">
        <v>2016</v>
      </c>
      <c r="B18" s="173">
        <f>B4</f>
        <v>202182964.05000001</v>
      </c>
      <c r="C18" s="173">
        <f>E4</f>
        <v>25974.833333333336</v>
      </c>
      <c r="D18" s="173">
        <f>F4</f>
        <v>69095397.390000001</v>
      </c>
      <c r="E18" s="173">
        <f>I4</f>
        <v>2497.4166666666665</v>
      </c>
      <c r="F18" s="173">
        <f>J4</f>
        <v>185839670.57999998</v>
      </c>
      <c r="G18" s="173">
        <f>M4</f>
        <v>580036.22</v>
      </c>
      <c r="H18" s="173">
        <f>O4</f>
        <v>212.625</v>
      </c>
      <c r="I18" s="173">
        <f>Q4</f>
        <v>1416419.3800000001</v>
      </c>
      <c r="J18" s="173">
        <f>S4</f>
        <v>36.083333333333329</v>
      </c>
      <c r="K18" s="173">
        <f>U4</f>
        <v>667141.85</v>
      </c>
      <c r="L18" s="173">
        <f>W4</f>
        <v>2173.14</v>
      </c>
      <c r="M18" s="173">
        <f>Y4</f>
        <v>746.625</v>
      </c>
      <c r="N18" s="173">
        <f>AA4</f>
        <v>2159285.8400000003</v>
      </c>
      <c r="O18" s="173">
        <f>AC4</f>
        <v>6413.35</v>
      </c>
      <c r="P18" s="173">
        <f>AE4</f>
        <v>5717.6666666666661</v>
      </c>
      <c r="Q18" s="173">
        <f>AG4</f>
        <v>5604942.4199999999</v>
      </c>
      <c r="R18" s="173">
        <f>AI4</f>
        <v>16375.72</v>
      </c>
      <c r="S18" s="173">
        <f>AJ4</f>
        <v>1</v>
      </c>
    </row>
    <row r="19" spans="1:19" x14ac:dyDescent="0.2">
      <c r="A19">
        <v>2017</v>
      </c>
      <c r="B19" s="173">
        <f t="shared" ref="B19:B26" si="17">B5</f>
        <v>192333396.59142745</v>
      </c>
      <c r="C19" s="173">
        <f t="shared" ref="C19:C27" si="18">E5</f>
        <v>26128.916666666668</v>
      </c>
      <c r="D19" s="173">
        <f t="shared" ref="D19:D27" si="19">F5</f>
        <v>66385178.073323995</v>
      </c>
      <c r="E19" s="173">
        <f t="shared" ref="E19:E27" si="20">I5</f>
        <v>2504.6666666666665</v>
      </c>
      <c r="F19" s="173">
        <f t="shared" ref="F19:F27" si="21">J5</f>
        <v>185980426.04825354</v>
      </c>
      <c r="G19" s="173">
        <f t="shared" ref="G19:G27" si="22">M5</f>
        <v>588371.79999999993</v>
      </c>
      <c r="H19" s="173">
        <f t="shared" ref="H19:H26" si="23">O5</f>
        <v>201.79166666666669</v>
      </c>
      <c r="I19" s="173">
        <f t="shared" ref="I19:I27" si="24">Q5</f>
        <v>1308270.2299999995</v>
      </c>
      <c r="J19" s="173">
        <f t="shared" ref="J19:J26" si="25">S5</f>
        <v>42.583333333333329</v>
      </c>
      <c r="K19" s="173">
        <f t="shared" ref="K19:K27" si="26">U5</f>
        <v>631149.96201329515</v>
      </c>
      <c r="L19" s="173">
        <f t="shared" ref="L19:L27" si="27">W5</f>
        <v>2037.9700000000007</v>
      </c>
      <c r="M19" s="173">
        <f t="shared" ref="M19:M27" si="28">Y5</f>
        <v>719.08333333333326</v>
      </c>
      <c r="N19" s="173">
        <f t="shared" ref="N19:N27" si="29">AA5</f>
        <v>1392668.2526115859</v>
      </c>
      <c r="O19" s="173">
        <f t="shared" ref="O19:O27" si="30">AC5</f>
        <v>4209.0200000000004</v>
      </c>
      <c r="P19" s="173">
        <f t="shared" ref="P19:P26" si="31">AE5</f>
        <v>5739.3333333333339</v>
      </c>
      <c r="Q19" s="173">
        <f t="shared" ref="Q19:Q27" si="32">AG5</f>
        <v>4768119.9723423496</v>
      </c>
      <c r="R19" s="173">
        <f t="shared" ref="R19:R27" si="33">AI5</f>
        <v>12501.41</v>
      </c>
      <c r="S19" s="173">
        <f t="shared" ref="S19:S27" si="34">AJ5</f>
        <v>1</v>
      </c>
    </row>
    <row r="20" spans="1:19" x14ac:dyDescent="0.2">
      <c r="A20">
        <v>2018</v>
      </c>
      <c r="B20" s="173">
        <f t="shared" si="17"/>
        <v>213384791.97681683</v>
      </c>
      <c r="C20" s="173">
        <f t="shared" si="18"/>
        <v>26346.625</v>
      </c>
      <c r="D20" s="173">
        <f t="shared" si="19"/>
        <v>68552191.048737228</v>
      </c>
      <c r="E20" s="173">
        <f t="shared" si="20"/>
        <v>2498.708333333333</v>
      </c>
      <c r="F20" s="173">
        <f t="shared" si="21"/>
        <v>186317853.54878309</v>
      </c>
      <c r="G20" s="173">
        <f t="shared" si="22"/>
        <v>580250.94000000006</v>
      </c>
      <c r="H20" s="173">
        <f t="shared" si="23"/>
        <v>197.83333333333331</v>
      </c>
      <c r="I20" s="173">
        <f t="shared" si="24"/>
        <v>1307305.7299999995</v>
      </c>
      <c r="J20" s="173">
        <f t="shared" si="25"/>
        <v>48.666666666666671</v>
      </c>
      <c r="K20" s="173">
        <f t="shared" si="26"/>
        <v>606042.11775878421</v>
      </c>
      <c r="L20" s="173">
        <f t="shared" si="27"/>
        <v>1951.2900000000013</v>
      </c>
      <c r="M20" s="173">
        <f t="shared" si="28"/>
        <v>701.95833333333326</v>
      </c>
      <c r="N20" s="173">
        <f t="shared" si="29"/>
        <v>1390046.9705603039</v>
      </c>
      <c r="O20" s="173">
        <f t="shared" si="30"/>
        <v>4251.8</v>
      </c>
      <c r="P20" s="173">
        <f t="shared" si="31"/>
        <v>5758.666666666667</v>
      </c>
      <c r="Q20" s="173">
        <f t="shared" si="32"/>
        <v>5218945.2166489204</v>
      </c>
      <c r="R20" s="173">
        <f t="shared" si="33"/>
        <v>13532.36</v>
      </c>
      <c r="S20" s="173">
        <f t="shared" si="34"/>
        <v>1</v>
      </c>
    </row>
    <row r="21" spans="1:19" x14ac:dyDescent="0.2">
      <c r="A21">
        <v>2019</v>
      </c>
      <c r="B21" s="173">
        <f t="shared" si="17"/>
        <v>208333696</v>
      </c>
      <c r="C21" s="173">
        <f t="shared" si="18"/>
        <v>26618.916666666664</v>
      </c>
      <c r="D21" s="173">
        <f t="shared" si="19"/>
        <v>68296620</v>
      </c>
      <c r="E21" s="173">
        <f t="shared" si="20"/>
        <v>2492.375</v>
      </c>
      <c r="F21" s="173">
        <f t="shared" si="21"/>
        <v>183204908</v>
      </c>
      <c r="G21" s="173">
        <f t="shared" si="22"/>
        <v>553967</v>
      </c>
      <c r="H21" s="173">
        <f t="shared" si="23"/>
        <v>192.83333333333331</v>
      </c>
      <c r="I21" s="173">
        <f t="shared" si="24"/>
        <v>1299487</v>
      </c>
      <c r="J21" s="173">
        <f t="shared" si="25"/>
        <v>47.041666666666671</v>
      </c>
      <c r="K21" s="173">
        <f t="shared" si="26"/>
        <v>565913</v>
      </c>
      <c r="L21" s="173">
        <f t="shared" si="27"/>
        <v>1856</v>
      </c>
      <c r="M21" s="173">
        <f t="shared" si="28"/>
        <v>672.125</v>
      </c>
      <c r="N21" s="173">
        <f t="shared" si="29"/>
        <v>1401778</v>
      </c>
      <c r="O21" s="173">
        <f t="shared" si="30"/>
        <v>4286</v>
      </c>
      <c r="P21" s="173">
        <f t="shared" si="31"/>
        <v>5861.7083333333339</v>
      </c>
      <c r="Q21" s="173">
        <f t="shared" si="32"/>
        <v>5234524</v>
      </c>
      <c r="R21" s="173">
        <f t="shared" si="33"/>
        <v>13276</v>
      </c>
      <c r="S21" s="173">
        <f t="shared" si="34"/>
        <v>1</v>
      </c>
    </row>
    <row r="22" spans="1:19" x14ac:dyDescent="0.2">
      <c r="A22">
        <v>2020</v>
      </c>
      <c r="B22" s="173">
        <f t="shared" si="17"/>
        <v>220200219.66</v>
      </c>
      <c r="C22" s="173">
        <f t="shared" si="18"/>
        <v>26904.5</v>
      </c>
      <c r="D22" s="173">
        <f t="shared" si="19"/>
        <v>63219121.670000002</v>
      </c>
      <c r="E22" s="173">
        <f t="shared" si="20"/>
        <v>2490</v>
      </c>
      <c r="F22" s="173">
        <f t="shared" si="21"/>
        <v>169630766.96000001</v>
      </c>
      <c r="G22" s="173">
        <f t="shared" si="22"/>
        <v>527483.83000000007</v>
      </c>
      <c r="H22" s="173">
        <f t="shared" si="23"/>
        <v>192</v>
      </c>
      <c r="I22" s="173">
        <f t="shared" si="24"/>
        <v>1307649.58</v>
      </c>
      <c r="J22" s="173">
        <f t="shared" si="25"/>
        <v>46</v>
      </c>
      <c r="K22" s="173">
        <f t="shared" si="26"/>
        <v>525914.77999999991</v>
      </c>
      <c r="L22" s="173">
        <f t="shared" si="27"/>
        <v>1722.9099999999999</v>
      </c>
      <c r="M22" s="173">
        <f t="shared" si="28"/>
        <v>642</v>
      </c>
      <c r="N22" s="173">
        <f t="shared" si="29"/>
        <v>1425844.32</v>
      </c>
      <c r="O22" s="173">
        <f t="shared" si="30"/>
        <v>4348.49</v>
      </c>
      <c r="P22" s="173">
        <f t="shared" si="31"/>
        <v>5978</v>
      </c>
      <c r="Q22" s="173">
        <f t="shared" si="32"/>
        <v>5321960</v>
      </c>
      <c r="R22" s="173">
        <f t="shared" si="33"/>
        <v>14339.56</v>
      </c>
      <c r="S22" s="173">
        <f t="shared" si="34"/>
        <v>1</v>
      </c>
    </row>
    <row r="23" spans="1:19" x14ac:dyDescent="0.2">
      <c r="A23">
        <v>2021</v>
      </c>
      <c r="B23" s="173">
        <f t="shared" si="17"/>
        <v>223186490.06</v>
      </c>
      <c r="C23" s="173">
        <f t="shared" si="18"/>
        <v>27185.5</v>
      </c>
      <c r="D23" s="173">
        <f t="shared" si="19"/>
        <v>63093119.950000003</v>
      </c>
      <c r="E23" s="173">
        <f t="shared" si="20"/>
        <v>2495.5</v>
      </c>
      <c r="F23" s="173">
        <f t="shared" si="21"/>
        <v>173812299.56999999</v>
      </c>
      <c r="G23" s="173">
        <f t="shared" si="22"/>
        <v>560531.96</v>
      </c>
      <c r="H23" s="173">
        <f t="shared" si="23"/>
        <v>198.5</v>
      </c>
      <c r="I23" s="173">
        <f t="shared" si="24"/>
        <v>1288662.6200000001</v>
      </c>
      <c r="J23" s="173">
        <f t="shared" si="25"/>
        <v>44.5</v>
      </c>
      <c r="K23" s="173">
        <f t="shared" si="26"/>
        <v>509735.7</v>
      </c>
      <c r="L23" s="173">
        <f t="shared" si="27"/>
        <v>1675.86</v>
      </c>
      <c r="M23" s="173">
        <f>Y9</f>
        <v>638.5</v>
      </c>
      <c r="N23" s="173">
        <f t="shared" si="29"/>
        <v>1423813.54</v>
      </c>
      <c r="O23" s="173">
        <f t="shared" si="30"/>
        <v>4352.42</v>
      </c>
      <c r="P23" s="173">
        <f t="shared" si="31"/>
        <v>6008.5</v>
      </c>
      <c r="Q23" s="173">
        <f t="shared" si="32"/>
        <v>5543931.4199999999</v>
      </c>
      <c r="R23" s="173">
        <f t="shared" si="33"/>
        <v>14862.9</v>
      </c>
      <c r="S23" s="173">
        <f t="shared" si="34"/>
        <v>1</v>
      </c>
    </row>
    <row r="24" spans="1:19" x14ac:dyDescent="0.2">
      <c r="A24">
        <v>2022</v>
      </c>
      <c r="B24" s="173">
        <f t="shared" si="17"/>
        <v>226316453.80000001</v>
      </c>
      <c r="C24" s="173">
        <f t="shared" si="18"/>
        <v>27519</v>
      </c>
      <c r="D24" s="173">
        <f t="shared" si="19"/>
        <v>67968059.879999995</v>
      </c>
      <c r="E24" s="173">
        <f t="shared" si="20"/>
        <v>2517.5</v>
      </c>
      <c r="F24" s="173">
        <f t="shared" si="21"/>
        <v>179949732.97</v>
      </c>
      <c r="G24" s="173">
        <f t="shared" si="22"/>
        <v>570326.93000000005</v>
      </c>
      <c r="H24" s="173">
        <f t="shared" si="23"/>
        <v>200.5</v>
      </c>
      <c r="I24" s="173">
        <f t="shared" si="24"/>
        <v>1284000.5900000001</v>
      </c>
      <c r="J24" s="173">
        <f t="shared" si="25"/>
        <v>42.5</v>
      </c>
      <c r="K24" s="173">
        <f t="shared" si="26"/>
        <v>499744.99</v>
      </c>
      <c r="L24" s="173">
        <f t="shared" si="27"/>
        <v>1636.3300000000002</v>
      </c>
      <c r="M24" s="173">
        <f t="shared" si="28"/>
        <v>636</v>
      </c>
      <c r="N24" s="173">
        <f>AA10</f>
        <v>1423716.0799999998</v>
      </c>
      <c r="O24" s="173">
        <f t="shared" si="30"/>
        <v>4352.42</v>
      </c>
      <c r="P24" s="173">
        <f t="shared" si="31"/>
        <v>6013.5</v>
      </c>
      <c r="Q24" s="173">
        <f t="shared" si="32"/>
        <v>5531274.6699999999</v>
      </c>
      <c r="R24" s="173">
        <f t="shared" si="33"/>
        <v>15056.95</v>
      </c>
      <c r="S24" s="173">
        <f t="shared" si="34"/>
        <v>1</v>
      </c>
    </row>
    <row r="25" spans="1:19" x14ac:dyDescent="0.2">
      <c r="A25">
        <v>2023</v>
      </c>
      <c r="B25" s="173">
        <f t="shared" si="17"/>
        <v>219776043.25999999</v>
      </c>
      <c r="C25" s="173">
        <f t="shared" si="18"/>
        <v>27839</v>
      </c>
      <c r="D25" s="173">
        <f t="shared" si="19"/>
        <v>66829175.539999999</v>
      </c>
      <c r="E25" s="173">
        <f t="shared" si="20"/>
        <v>2530</v>
      </c>
      <c r="F25" s="173">
        <f t="shared" si="21"/>
        <v>181546335.81</v>
      </c>
      <c r="G25" s="173">
        <f t="shared" si="22"/>
        <v>579214.24</v>
      </c>
      <c r="H25" s="173">
        <f t="shared" si="23"/>
        <v>200</v>
      </c>
      <c r="I25" s="173">
        <f t="shared" si="24"/>
        <v>1285502.0899999999</v>
      </c>
      <c r="J25" s="173">
        <f t="shared" si="25"/>
        <v>42</v>
      </c>
      <c r="K25" s="173">
        <f t="shared" si="26"/>
        <v>492156.56</v>
      </c>
      <c r="L25" s="173">
        <f t="shared" si="27"/>
        <v>1599.82</v>
      </c>
      <c r="M25" s="173">
        <f t="shared" si="28"/>
        <v>626.5</v>
      </c>
      <c r="N25" s="173">
        <f t="shared" si="29"/>
        <v>1430413.7999999998</v>
      </c>
      <c r="O25" s="173">
        <f t="shared" si="30"/>
        <v>4370.1400000000003</v>
      </c>
      <c r="P25" s="173">
        <f t="shared" si="31"/>
        <v>6055</v>
      </c>
      <c r="Q25" s="173">
        <f t="shared" si="32"/>
        <v>5519642.0099999998</v>
      </c>
      <c r="R25" s="173">
        <f t="shared" si="33"/>
        <v>14942.19</v>
      </c>
      <c r="S25" s="173">
        <f t="shared" si="34"/>
        <v>1</v>
      </c>
    </row>
    <row r="26" spans="1:19" x14ac:dyDescent="0.2">
      <c r="A26">
        <v>2024</v>
      </c>
      <c r="B26" s="173">
        <f t="shared" si="17"/>
        <v>228623867.22</v>
      </c>
      <c r="C26" s="173">
        <f t="shared" si="18"/>
        <v>28076.5</v>
      </c>
      <c r="D26" s="173">
        <f t="shared" si="19"/>
        <v>67302263.310000002</v>
      </c>
      <c r="E26" s="173">
        <f t="shared" si="20"/>
        <v>2533.5</v>
      </c>
      <c r="F26" s="173">
        <f t="shared" si="21"/>
        <v>184252866.08999997</v>
      </c>
      <c r="G26" s="173">
        <f t="shared" si="22"/>
        <v>577912.13</v>
      </c>
      <c r="H26" s="173">
        <f t="shared" si="23"/>
        <v>202.5</v>
      </c>
      <c r="I26" s="173">
        <f t="shared" si="24"/>
        <v>1292091</v>
      </c>
      <c r="J26" s="173">
        <f t="shared" si="25"/>
        <v>42</v>
      </c>
      <c r="K26" s="173">
        <f t="shared" si="26"/>
        <v>450678.16</v>
      </c>
      <c r="L26" s="173">
        <f t="shared" si="27"/>
        <v>1477.68</v>
      </c>
      <c r="M26" s="173">
        <f t="shared" si="28"/>
        <v>624</v>
      </c>
      <c r="N26" s="173">
        <f t="shared" si="29"/>
        <v>1456996.37</v>
      </c>
      <c r="O26" s="173">
        <f t="shared" si="30"/>
        <v>4442.1400000000003</v>
      </c>
      <c r="P26" s="173">
        <f t="shared" si="31"/>
        <v>6146</v>
      </c>
      <c r="Q26" s="173">
        <f t="shared" si="32"/>
        <v>5640447.3899999997</v>
      </c>
      <c r="R26" s="173">
        <f t="shared" si="33"/>
        <v>15142.87</v>
      </c>
      <c r="S26" s="173">
        <f t="shared" si="34"/>
        <v>1</v>
      </c>
    </row>
    <row r="27" spans="1:19" x14ac:dyDescent="0.2">
      <c r="A27">
        <v>2025</v>
      </c>
      <c r="B27" s="173">
        <f>B13</f>
        <v>239825021.94555604</v>
      </c>
      <c r="C27" s="173">
        <f t="shared" si="18"/>
        <v>28278.5</v>
      </c>
      <c r="D27" s="173">
        <f t="shared" si="19"/>
        <v>69410244.351478517</v>
      </c>
      <c r="E27" s="173">
        <f t="shared" si="20"/>
        <v>2544.5</v>
      </c>
      <c r="F27" s="173">
        <f t="shared" si="21"/>
        <v>185314016.59084186</v>
      </c>
      <c r="G27" s="173">
        <f t="shared" si="22"/>
        <v>567720.46000000008</v>
      </c>
      <c r="H27" s="173">
        <f>O13</f>
        <v>203</v>
      </c>
      <c r="I27" s="173">
        <f t="shared" si="24"/>
        <v>1294985</v>
      </c>
      <c r="J27" s="173">
        <f>S13</f>
        <v>43</v>
      </c>
      <c r="K27" s="173">
        <f t="shared" si="26"/>
        <v>427408.11085004313</v>
      </c>
      <c r="L27" s="173">
        <f t="shared" si="27"/>
        <v>1400.8999999999933</v>
      </c>
      <c r="M27" s="173">
        <f t="shared" si="28"/>
        <v>618</v>
      </c>
      <c r="N27" s="173">
        <f t="shared" si="29"/>
        <v>1437972.6529836564</v>
      </c>
      <c r="O27" s="173">
        <f t="shared" si="30"/>
        <v>4393</v>
      </c>
      <c r="P27" s="173">
        <f>AE13</f>
        <v>6154.5</v>
      </c>
      <c r="Q27" s="173">
        <f t="shared" si="32"/>
        <v>5636846.5921088494</v>
      </c>
      <c r="R27" s="173">
        <f t="shared" si="33"/>
        <v>14981</v>
      </c>
      <c r="S27" s="173">
        <f t="shared" si="34"/>
        <v>1</v>
      </c>
    </row>
  </sheetData>
  <mergeCells count="24">
    <mergeCell ref="B1:E1"/>
    <mergeCell ref="F1:I1"/>
    <mergeCell ref="J1:O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P1:S1"/>
    <mergeCell ref="T1:Y1"/>
    <mergeCell ref="T2:U2"/>
    <mergeCell ref="V2:W2"/>
    <mergeCell ref="X2:Y2"/>
    <mergeCell ref="Z2:AA2"/>
    <mergeCell ref="Z1:AE1"/>
    <mergeCell ref="AB2:AC2"/>
    <mergeCell ref="AD2:AE2"/>
    <mergeCell ref="AF2:AG2"/>
    <mergeCell ref="AF1:AJ1"/>
    <mergeCell ref="AH2:AI2"/>
  </mergeCells>
  <pageMargins left="0.70866141732283472" right="0.70866141732283472" top="0.74803149606299213" bottom="0.74803149606299213" header="0.31496062992125984" footer="0.31496062992125984"/>
  <pageSetup scale="49" orientation="landscape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Inputs</vt:lpstr>
      <vt:lpstr>Load Forecast Summary</vt:lpstr>
      <vt:lpstr>Power Purchased Model</vt:lpstr>
      <vt:lpstr>Power Purchased Model (WN)</vt:lpstr>
      <vt:lpstr>Rate Class Energy Model</vt:lpstr>
      <vt:lpstr>Rate Class Customer Model</vt:lpstr>
      <vt:lpstr>Rate Class Load Model</vt:lpstr>
      <vt:lpstr>Weather Analysis</vt:lpstr>
      <vt:lpstr>Averages</vt:lpstr>
      <vt:lpstr>Monthly Customer Determination</vt:lpstr>
      <vt:lpstr>'Load Forecast Summary'!Print_Area</vt:lpstr>
      <vt:lpstr>'Power Purchased Model'!Print_Area</vt:lpstr>
      <vt:lpstr>'Power Purchased Model (WN)'!Print_Area</vt:lpstr>
      <vt:lpstr>'Rate Class Customer Model'!Print_Area</vt:lpstr>
      <vt:lpstr>'Rate Class Load Model'!Print_Area</vt:lpstr>
      <vt:lpstr>Averages!Print_Titles</vt:lpstr>
      <vt:lpstr>Inputs!Print_Titles</vt:lpstr>
      <vt:lpstr>'Power Purchased Model'!Print_Titles</vt:lpstr>
      <vt:lpstr>'Power Purchased Model (WN)'!Print_Titles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_</dc:title>
  <dc:creator/>
  <cp:lastModifiedBy/>
  <cp:lastPrinted>2014-03-06T15:42:29Z</cp:lastPrinted>
  <dcterms:created xsi:type="dcterms:W3CDTF">2014-03-06T15:42:29Z</dcterms:created>
  <dcterms:modified xsi:type="dcterms:W3CDTF">2026-05-19T19:28:34Z</dcterms:modified>
</cp:coreProperties>
</file>